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ti\Desktop\Santiago\UTN\Evaluación de proyectos\"/>
    </mc:Choice>
  </mc:AlternateContent>
  <bookViews>
    <workbookView xWindow="0" yWindow="0" windowWidth="21570" windowHeight="8145" tabRatio="500" activeTab="2"/>
  </bookViews>
  <sheets>
    <sheet name="InfoInicial" sheetId="1" r:id="rId1"/>
    <sheet name="E-Inv AF y Am" sheetId="2" r:id="rId2"/>
    <sheet name="E-Costos" sheetId="3" r:id="rId3"/>
    <sheet name="E-InvAT" sheetId="4" r:id="rId4"/>
    <sheet name="E-Cal Inv." sheetId="5" r:id="rId5"/>
    <sheet name="E-IVA " sheetId="6" r:id="rId6"/>
    <sheet name="E-Form" sheetId="7" r:id="rId7"/>
    <sheet name="F-Cred" sheetId="8" r:id="rId8"/>
    <sheet name="F-CRes" sheetId="9" r:id="rId9"/>
    <sheet name="F-2 Estructura" sheetId="10" r:id="rId10"/>
    <sheet name="F-IVA" sheetId="11" r:id="rId11"/>
    <sheet name="F- CFyU" sheetId="12" r:id="rId12"/>
    <sheet name="F-Balance" sheetId="13" r:id="rId13"/>
    <sheet name="F- Form" sheetId="14" r:id="rId14"/>
  </sheets>
  <definedNames>
    <definedName name="Excel_BuiltIn_Print_Area" localSheetId="11">('F- CFyU'!#REF!,'F- CFyU'!#REF!,'F- CFyU'!$A$3:$H$28)</definedName>
    <definedName name="Excel_BuiltIn_Print_Area" localSheetId="12">('F-Balance'!#REF!,'F-Balance'!#REF!,'F-Balance'!$A$3:$G$35)</definedName>
    <definedName name="_xlnm.Print_Area" localSheetId="2">('E-Costos'!$A$3:$G$47,'E-Costos'!$A$50:$F$80,'E-Costos'!$A$83:$F$135)</definedName>
    <definedName name="_xlnm.Print_Area" localSheetId="11">'F- CFyU'!$A$3:$H$28</definedName>
    <definedName name="_xlnm.Print_Area" localSheetId="12">'F-Balance'!$A$3:$G$35</definedName>
    <definedName name="_xlnm.Print_Area" localSheetId="7">'F-Cred'!$A$1:$I$54</definedName>
  </definedNames>
  <calcPr calcId="152511"/>
</workbook>
</file>

<file path=xl/calcChain.xml><?xml version="1.0" encoding="utf-8"?>
<calcChain xmlns="http://schemas.openxmlformats.org/spreadsheetml/2006/main">
  <c r="C133" i="3" l="1"/>
  <c r="D133" i="3"/>
  <c r="E133" i="3"/>
  <c r="F133" i="3"/>
  <c r="B133" i="3"/>
  <c r="C127" i="3" l="1"/>
  <c r="D127" i="3"/>
  <c r="E127" i="3"/>
  <c r="F127" i="3"/>
  <c r="B127" i="3"/>
  <c r="C128" i="3"/>
  <c r="D128" i="3"/>
  <c r="E128" i="3"/>
  <c r="F128" i="3"/>
  <c r="B128" i="3"/>
  <c r="C47" i="3"/>
  <c r="D47" i="3"/>
  <c r="E47" i="3"/>
  <c r="F47" i="3"/>
  <c r="B47" i="3"/>
  <c r="C46" i="3"/>
  <c r="D46" i="3"/>
  <c r="E46" i="3"/>
  <c r="F46" i="3"/>
  <c r="B46" i="3"/>
  <c r="C132" i="3"/>
  <c r="D132" i="3"/>
  <c r="E132" i="3"/>
  <c r="F132" i="3"/>
  <c r="B132" i="3"/>
  <c r="C131" i="3"/>
  <c r="D131" i="3"/>
  <c r="E131" i="3"/>
  <c r="F131" i="3"/>
  <c r="B131" i="3"/>
  <c r="C129" i="3"/>
  <c r="D129" i="3"/>
  <c r="E129" i="3"/>
  <c r="F129" i="3"/>
  <c r="B129" i="3"/>
  <c r="F79" i="3"/>
  <c r="E79" i="3"/>
  <c r="E80" i="3" s="1"/>
  <c r="D79" i="3"/>
  <c r="D80" i="3" s="1"/>
  <c r="C79" i="3"/>
  <c r="F80" i="3"/>
  <c r="C80" i="3"/>
  <c r="B80" i="3"/>
  <c r="B79" i="3"/>
  <c r="D15" i="7"/>
  <c r="J15" i="7"/>
  <c r="J14" i="7"/>
  <c r="D14" i="7"/>
  <c r="D13" i="7"/>
  <c r="C9" i="7"/>
  <c r="H12" i="5"/>
  <c r="G17" i="5"/>
  <c r="H17" i="5"/>
  <c r="G16" i="5"/>
  <c r="H16" i="5"/>
  <c r="G12" i="5"/>
  <c r="F17" i="5"/>
  <c r="F16" i="5"/>
  <c r="F12" i="5"/>
  <c r="E17" i="5"/>
  <c r="E16" i="5"/>
  <c r="E12" i="5"/>
  <c r="D12" i="5"/>
  <c r="E15" i="5"/>
  <c r="D18" i="5"/>
  <c r="C24" i="4"/>
  <c r="C25" i="4"/>
  <c r="B53" i="2"/>
  <c r="H35" i="2"/>
  <c r="J9" i="7"/>
  <c r="J8" i="7"/>
  <c r="J7" i="7"/>
  <c r="K4" i="7"/>
  <c r="B9" i="7"/>
  <c r="B5" i="7"/>
  <c r="B4" i="7"/>
  <c r="B11" i="7" s="1"/>
  <c r="C21" i="5"/>
  <c r="G22" i="6"/>
  <c r="F22" i="6"/>
  <c r="E22" i="6"/>
  <c r="D22" i="6"/>
  <c r="C22" i="6"/>
  <c r="G19" i="6"/>
  <c r="F19" i="6"/>
  <c r="E19" i="6"/>
  <c r="D19" i="6"/>
  <c r="C19" i="6"/>
  <c r="D17" i="6"/>
  <c r="E17" i="6"/>
  <c r="F17" i="6"/>
  <c r="G17" i="6"/>
  <c r="C17" i="6"/>
  <c r="D16" i="6"/>
  <c r="E16" i="6"/>
  <c r="F16" i="6"/>
  <c r="G16" i="6"/>
  <c r="C16" i="6"/>
  <c r="D15" i="6"/>
  <c r="E15" i="6"/>
  <c r="F15" i="6"/>
  <c r="G15" i="6"/>
  <c r="C15" i="6"/>
  <c r="C13" i="6"/>
  <c r="G9" i="6"/>
  <c r="F9" i="6"/>
  <c r="E9" i="6"/>
  <c r="D9" i="6"/>
  <c r="C9" i="6"/>
  <c r="G8" i="6"/>
  <c r="F8" i="6"/>
  <c r="E8" i="6"/>
  <c r="D8" i="6"/>
  <c r="C8" i="6"/>
  <c r="G7" i="6"/>
  <c r="F7" i="6"/>
  <c r="E7" i="6"/>
  <c r="D7" i="6"/>
  <c r="C7" i="6"/>
  <c r="C6" i="6"/>
  <c r="E18" i="5" l="1"/>
  <c r="G6" i="6"/>
  <c r="F6" i="6"/>
  <c r="F12" i="6" s="1"/>
  <c r="E6" i="6"/>
  <c r="E12" i="6" s="1"/>
  <c r="D6" i="6"/>
  <c r="D12" i="6" s="1"/>
  <c r="G12" i="6"/>
  <c r="C12" i="6"/>
  <c r="B12" i="6"/>
  <c r="B25" i="5"/>
  <c r="I21" i="5"/>
  <c r="B23" i="5"/>
  <c r="B21" i="5"/>
  <c r="F14" i="5"/>
  <c r="G14" i="5"/>
  <c r="H14" i="5"/>
  <c r="E14" i="5"/>
  <c r="D14" i="5"/>
  <c r="C14" i="5"/>
  <c r="B18" i="5"/>
  <c r="I14" i="5"/>
  <c r="I11" i="5"/>
  <c r="E11" i="5"/>
  <c r="F11" i="5"/>
  <c r="G11" i="5"/>
  <c r="H11" i="5"/>
  <c r="D11" i="5"/>
  <c r="C11" i="5"/>
  <c r="D33" i="4"/>
  <c r="E33" i="4"/>
  <c r="F33" i="4"/>
  <c r="G33" i="4"/>
  <c r="C33" i="4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O21" i="4"/>
  <c r="N21" i="4"/>
  <c r="M21" i="4"/>
  <c r="L21" i="4"/>
  <c r="K21" i="4"/>
  <c r="O20" i="4"/>
  <c r="N20" i="4"/>
  <c r="M20" i="4"/>
  <c r="L20" i="4"/>
  <c r="K20" i="4"/>
  <c r="O19" i="4"/>
  <c r="N19" i="4"/>
  <c r="M19" i="4"/>
  <c r="L19" i="4"/>
  <c r="K19" i="4"/>
  <c r="G32" i="4"/>
  <c r="F32" i="4"/>
  <c r="E32" i="4"/>
  <c r="D32" i="4"/>
  <c r="C32" i="4"/>
  <c r="B30" i="4"/>
  <c r="B6" i="4"/>
  <c r="B10" i="4"/>
  <c r="K13" i="4"/>
  <c r="G7" i="4" l="1"/>
  <c r="F7" i="4"/>
  <c r="E7" i="4"/>
  <c r="D7" i="4"/>
  <c r="C7" i="4"/>
  <c r="G6" i="4"/>
  <c r="F6" i="4"/>
  <c r="E6" i="4"/>
  <c r="D6" i="4"/>
  <c r="C6" i="4"/>
  <c r="B85" i="3" l="1"/>
  <c r="B87" i="3" s="1"/>
  <c r="F100" i="3"/>
  <c r="E100" i="3"/>
  <c r="D100" i="3"/>
  <c r="C100" i="3"/>
  <c r="B100" i="3"/>
  <c r="B96" i="3"/>
  <c r="F90" i="3"/>
  <c r="E90" i="3"/>
  <c r="D90" i="3"/>
  <c r="C90" i="3"/>
  <c r="B90" i="3"/>
  <c r="F89" i="3"/>
  <c r="E89" i="3"/>
  <c r="D89" i="3"/>
  <c r="C89" i="3"/>
  <c r="B89" i="3"/>
  <c r="F87" i="3"/>
  <c r="E87" i="3"/>
  <c r="D87" i="3"/>
  <c r="C87" i="3"/>
  <c r="F85" i="3"/>
  <c r="E85" i="3"/>
  <c r="D85" i="3"/>
  <c r="C85" i="3"/>
  <c r="F74" i="3" l="1"/>
  <c r="E74" i="3"/>
  <c r="D74" i="3"/>
  <c r="C74" i="3"/>
  <c r="B74" i="3"/>
  <c r="U103" i="3"/>
  <c r="B58" i="3"/>
  <c r="E58" i="3" s="1"/>
  <c r="U84" i="3"/>
  <c r="F73" i="3"/>
  <c r="E73" i="3"/>
  <c r="D73" i="3"/>
  <c r="C73" i="3"/>
  <c r="B73" i="3"/>
  <c r="L99" i="3"/>
  <c r="L98" i="3"/>
  <c r="L95" i="3"/>
  <c r="F70" i="3"/>
  <c r="E70" i="3"/>
  <c r="D70" i="3"/>
  <c r="B70" i="3"/>
  <c r="C70" i="3"/>
  <c r="F72" i="3"/>
  <c r="E72" i="3"/>
  <c r="D72" i="3"/>
  <c r="B72" i="3"/>
  <c r="C72" i="3"/>
  <c r="F71" i="3"/>
  <c r="E71" i="3"/>
  <c r="D71" i="3"/>
  <c r="B71" i="3"/>
  <c r="C71" i="3"/>
  <c r="R89" i="3"/>
  <c r="F57" i="3"/>
  <c r="E57" i="3"/>
  <c r="D57" i="3"/>
  <c r="C57" i="3"/>
  <c r="B57" i="3"/>
  <c r="R77" i="3"/>
  <c r="F58" i="3" l="1"/>
  <c r="C58" i="3"/>
  <c r="D58" i="3"/>
  <c r="F56" i="3"/>
  <c r="E56" i="3"/>
  <c r="D56" i="3"/>
  <c r="B56" i="3"/>
  <c r="C56" i="3"/>
  <c r="C14" i="3"/>
  <c r="B55" i="3"/>
  <c r="F55" i="3"/>
  <c r="E55" i="3"/>
  <c r="D55" i="3"/>
  <c r="C55" i="3"/>
  <c r="C68" i="3"/>
  <c r="B68" i="3" s="1"/>
  <c r="C52" i="3"/>
  <c r="E52" i="3" s="1"/>
  <c r="O67" i="3"/>
  <c r="O77" i="3"/>
  <c r="B52" i="3"/>
  <c r="F68" i="3"/>
  <c r="E68" i="3"/>
  <c r="D68" i="3"/>
  <c r="F52" i="3"/>
  <c r="D52" i="3"/>
  <c r="O76" i="3"/>
  <c r="O75" i="3"/>
  <c r="O74" i="3"/>
  <c r="O73" i="3"/>
  <c r="O72" i="3"/>
  <c r="O66" i="3"/>
  <c r="O65" i="3"/>
  <c r="O64" i="3"/>
  <c r="O63" i="3"/>
  <c r="L63" i="3"/>
  <c r="M63" i="3"/>
  <c r="I6" i="5" l="1"/>
  <c r="C8" i="5"/>
  <c r="B8" i="5"/>
  <c r="B7" i="5"/>
  <c r="C7" i="5"/>
  <c r="C6" i="5"/>
  <c r="G32" i="3" l="1"/>
  <c r="G31" i="3"/>
  <c r="S17" i="3"/>
  <c r="Q57" i="3"/>
  <c r="Q56" i="3"/>
  <c r="Q54" i="3"/>
  <c r="Q53" i="3"/>
  <c r="Q52" i="3"/>
  <c r="Q49" i="3"/>
  <c r="Q46" i="3"/>
  <c r="C7" i="3"/>
  <c r="C25" i="3" s="1"/>
  <c r="F33" i="3"/>
  <c r="F32" i="3"/>
  <c r="F31" i="3"/>
  <c r="F29" i="3"/>
  <c r="F26" i="3"/>
  <c r="E33" i="3"/>
  <c r="E32" i="3"/>
  <c r="E31" i="3"/>
  <c r="E29" i="3"/>
  <c r="D33" i="3"/>
  <c r="D32" i="3"/>
  <c r="D31" i="3"/>
  <c r="D29" i="3"/>
  <c r="D26" i="3"/>
  <c r="C33" i="3"/>
  <c r="C32" i="3"/>
  <c r="C31" i="3"/>
  <c r="C29" i="3"/>
  <c r="B29" i="3"/>
  <c r="B33" i="3"/>
  <c r="B32" i="3"/>
  <c r="B31" i="3"/>
  <c r="B26" i="3"/>
  <c r="B25" i="3"/>
  <c r="S42" i="3"/>
  <c r="T14" i="3"/>
  <c r="T17" i="3" s="1"/>
  <c r="S14" i="3"/>
  <c r="R14" i="3"/>
  <c r="R17" i="3" s="1"/>
  <c r="B7" i="3"/>
  <c r="B15" i="3"/>
  <c r="F15" i="3"/>
  <c r="E15" i="3"/>
  <c r="D15" i="3"/>
  <c r="C15" i="3"/>
  <c r="F14" i="3"/>
  <c r="E14" i="3"/>
  <c r="D14" i="3"/>
  <c r="B14" i="3"/>
  <c r="B15" i="2"/>
  <c r="B13" i="3"/>
  <c r="F13" i="3"/>
  <c r="E13" i="3"/>
  <c r="D13" i="3"/>
  <c r="C13" i="3"/>
  <c r="F11" i="3"/>
  <c r="E11" i="3"/>
  <c r="D11" i="3"/>
  <c r="B11" i="3"/>
  <c r="C11" i="3"/>
  <c r="O16" i="3"/>
  <c r="O17" i="3"/>
  <c r="O18" i="3"/>
  <c r="O19" i="3"/>
  <c r="O20" i="3"/>
  <c r="O21" i="3"/>
  <c r="O22" i="3"/>
  <c r="O15" i="3"/>
  <c r="D8" i="3"/>
  <c r="F8" i="3" s="1"/>
  <c r="C8" i="3"/>
  <c r="C26" i="3" s="1"/>
  <c r="B8" i="3"/>
  <c r="G26" i="3" s="1"/>
  <c r="B46" i="2"/>
  <c r="B29" i="2"/>
  <c r="B31" i="2" s="1"/>
  <c r="B50" i="2"/>
  <c r="D50" i="2" s="1"/>
  <c r="D11" i="2"/>
  <c r="F56" i="2"/>
  <c r="G44" i="2"/>
  <c r="G45" i="2"/>
  <c r="E48" i="2"/>
  <c r="E45" i="2"/>
  <c r="E44" i="2"/>
  <c r="D48" i="2"/>
  <c r="D45" i="2"/>
  <c r="D44" i="2"/>
  <c r="C53" i="2"/>
  <c r="C50" i="2"/>
  <c r="C49" i="2"/>
  <c r="C48" i="2"/>
  <c r="C47" i="2"/>
  <c r="C46" i="2"/>
  <c r="C45" i="2"/>
  <c r="C44" i="2"/>
  <c r="G43" i="2"/>
  <c r="B47" i="2"/>
  <c r="D47" i="2" s="1"/>
  <c r="E47" i="2" s="1"/>
  <c r="B48" i="2"/>
  <c r="B45" i="2"/>
  <c r="B44" i="2"/>
  <c r="B43" i="2"/>
  <c r="D31" i="2"/>
  <c r="B14" i="2"/>
  <c r="B16" i="2"/>
  <c r="B12" i="2"/>
  <c r="B9" i="2"/>
  <c r="B8" i="2"/>
  <c r="B7" i="2"/>
  <c r="G25" i="3" l="1"/>
  <c r="F7" i="3"/>
  <c r="F25" i="3" s="1"/>
  <c r="E7" i="3"/>
  <c r="E25" i="3" s="1"/>
  <c r="D7" i="3"/>
  <c r="D25" i="3" s="1"/>
  <c r="E8" i="3"/>
  <c r="E26" i="3" s="1"/>
  <c r="B13" i="2"/>
  <c r="D14" i="2"/>
  <c r="G1" i="5"/>
  <c r="E3" i="3"/>
  <c r="G1" i="7"/>
  <c r="E1" i="2"/>
  <c r="E1" i="4"/>
  <c r="G1" i="6"/>
  <c r="E1" i="12"/>
  <c r="G1" i="14"/>
  <c r="D1" i="10"/>
  <c r="E1" i="13"/>
  <c r="F1" i="8"/>
  <c r="F1" i="9"/>
  <c r="E1" i="11"/>
  <c r="D46" i="2" l="1"/>
  <c r="E46" i="2"/>
  <c r="G46" i="2" s="1"/>
  <c r="G51" i="2" s="1"/>
  <c r="G56" i="2" s="1"/>
  <c r="D18" i="2"/>
  <c r="D20" i="2" s="1"/>
  <c r="D33" i="2" s="1"/>
  <c r="D34" i="2" s="1"/>
  <c r="D36" i="2" s="1"/>
  <c r="B18" i="2"/>
  <c r="D53" i="2"/>
  <c r="B49" i="2" l="1"/>
  <c r="B20" i="2"/>
  <c r="B33" i="2" s="1"/>
  <c r="E53" i="2"/>
  <c r="B34" i="2" l="1"/>
  <c r="B36" i="2" s="1"/>
  <c r="D49" i="2"/>
  <c r="B10" i="3" s="1"/>
  <c r="B51" i="2"/>
  <c r="B28" i="3" l="1"/>
  <c r="C17" i="4" s="1"/>
  <c r="B56" i="2"/>
  <c r="I52" i="2" s="1"/>
  <c r="C12" i="3"/>
  <c r="C30" i="3" s="1"/>
  <c r="C10" i="3"/>
  <c r="D10" i="3"/>
  <c r="E49" i="2"/>
  <c r="E51" i="2" s="1"/>
  <c r="E56" i="2" s="1"/>
  <c r="D51" i="2"/>
  <c r="D56" i="2" s="1"/>
  <c r="D28" i="3" l="1"/>
  <c r="E17" i="4" s="1"/>
  <c r="D18" i="4"/>
  <c r="C28" i="3"/>
  <c r="D17" i="4" s="1"/>
  <c r="E10" i="3"/>
  <c r="I8" i="7"/>
  <c r="I9" i="7"/>
  <c r="F124" i="3"/>
  <c r="E124" i="3"/>
  <c r="E53" i="3"/>
  <c r="I7" i="7"/>
  <c r="I5" i="7"/>
  <c r="I6" i="7"/>
  <c r="D20" i="4"/>
  <c r="C124" i="3"/>
  <c r="B124" i="3"/>
  <c r="D124" i="3"/>
  <c r="C53" i="3"/>
  <c r="C18" i="4"/>
  <c r="C20" i="4" s="1"/>
  <c r="C16" i="3"/>
  <c r="C34" i="3" s="1"/>
  <c r="B12" i="3"/>
  <c r="F12" i="3"/>
  <c r="F30" i="3" s="1"/>
  <c r="E12" i="3"/>
  <c r="E30" i="3" s="1"/>
  <c r="D12" i="3"/>
  <c r="D30" i="3" s="1"/>
  <c r="C69" i="3" l="1"/>
  <c r="B53" i="3"/>
  <c r="D53" i="3"/>
  <c r="F10" i="3"/>
  <c r="E28" i="3"/>
  <c r="F17" i="4" s="1"/>
  <c r="I11" i="7"/>
  <c r="E69" i="3"/>
  <c r="F53" i="3"/>
  <c r="C91" i="3"/>
  <c r="C93" i="3" s="1"/>
  <c r="E18" i="4"/>
  <c r="E20" i="4" s="1"/>
  <c r="B30" i="3"/>
  <c r="G30" i="3"/>
  <c r="G35" i="3" s="1"/>
  <c r="B41" i="3" s="1"/>
  <c r="D16" i="3"/>
  <c r="B16" i="3"/>
  <c r="C17" i="3"/>
  <c r="C39" i="3" s="1"/>
  <c r="E16" i="3"/>
  <c r="E34" i="3" s="1"/>
  <c r="B34" i="3" l="1"/>
  <c r="B91" i="3"/>
  <c r="B93" i="3" s="1"/>
  <c r="G18" i="4"/>
  <c r="F91" i="3"/>
  <c r="F93" i="3" s="1"/>
  <c r="F28" i="3"/>
  <c r="G17" i="4" s="1"/>
  <c r="F16" i="3"/>
  <c r="D34" i="3"/>
  <c r="D91" i="3"/>
  <c r="D93" i="3" s="1"/>
  <c r="E91" i="3"/>
  <c r="E93" i="3" s="1"/>
  <c r="F69" i="3"/>
  <c r="E75" i="3"/>
  <c r="E77" i="3"/>
  <c r="E109" i="3" s="1"/>
  <c r="F18" i="4"/>
  <c r="F20" i="4" s="1"/>
  <c r="B69" i="3"/>
  <c r="C75" i="3"/>
  <c r="C77" i="3"/>
  <c r="C109" i="3" s="1"/>
  <c r="D69" i="3"/>
  <c r="B35" i="3"/>
  <c r="C12" i="4" s="1"/>
  <c r="D16" i="5" s="1"/>
  <c r="C26" i="2"/>
  <c r="C20" i="3"/>
  <c r="C35" i="3"/>
  <c r="D12" i="4" s="1"/>
  <c r="F17" i="3"/>
  <c r="F34" i="3"/>
  <c r="D17" i="3"/>
  <c r="D39" i="3" s="1"/>
  <c r="B17" i="3"/>
  <c r="E17" i="3"/>
  <c r="E39" i="3" s="1"/>
  <c r="C19" i="3"/>
  <c r="B75" i="3" l="1"/>
  <c r="B77" i="3" s="1"/>
  <c r="B109" i="3" s="1"/>
  <c r="F75" i="3"/>
  <c r="F77" i="3"/>
  <c r="F109" i="3" s="1"/>
  <c r="B99" i="3"/>
  <c r="D75" i="3"/>
  <c r="D77" i="3" s="1"/>
  <c r="D109" i="3" s="1"/>
  <c r="G20" i="4"/>
  <c r="D7" i="5"/>
  <c r="C31" i="2"/>
  <c r="B20" i="3"/>
  <c r="B39" i="3"/>
  <c r="B43" i="3" s="1"/>
  <c r="C42" i="3"/>
  <c r="B42" i="3"/>
  <c r="B97" i="3" s="1"/>
  <c r="F35" i="3"/>
  <c r="G12" i="4" s="1"/>
  <c r="F39" i="3"/>
  <c r="F20" i="3"/>
  <c r="E20" i="3"/>
  <c r="E35" i="3"/>
  <c r="D20" i="3"/>
  <c r="D35" i="3"/>
  <c r="F19" i="3"/>
  <c r="B19" i="3"/>
  <c r="D19" i="3"/>
  <c r="E19" i="3"/>
  <c r="F42" i="3" l="1"/>
  <c r="F97" i="3" s="1"/>
  <c r="F99" i="3" s="1"/>
  <c r="F12" i="4"/>
  <c r="B101" i="3"/>
  <c r="F43" i="3"/>
  <c r="F44" i="3" s="1"/>
  <c r="E42" i="3"/>
  <c r="E12" i="4"/>
  <c r="I16" i="5" s="1"/>
  <c r="C43" i="3"/>
  <c r="C97" i="3"/>
  <c r="C99" i="3" s="1"/>
  <c r="C101" i="3" s="1"/>
  <c r="D42" i="3"/>
  <c r="I7" i="5"/>
  <c r="D8" i="5"/>
  <c r="I8" i="5" s="1"/>
  <c r="B44" i="3"/>
  <c r="B104" i="3" l="1"/>
  <c r="C13" i="4"/>
  <c r="D17" i="5" s="1"/>
  <c r="C44" i="3"/>
  <c r="C54" i="3"/>
  <c r="D43" i="3"/>
  <c r="D44" i="3" s="1"/>
  <c r="D97" i="3"/>
  <c r="D99" i="3" s="1"/>
  <c r="E43" i="3"/>
  <c r="E44" i="3" s="1"/>
  <c r="E97" i="3"/>
  <c r="E99" i="3" s="1"/>
  <c r="D13" i="4"/>
  <c r="F101" i="3"/>
  <c r="G13" i="4" s="1"/>
  <c r="D54" i="3" l="1"/>
  <c r="D18" i="6"/>
  <c r="D21" i="6" s="1"/>
  <c r="D23" i="6" s="1"/>
  <c r="D11" i="4"/>
  <c r="B54" i="3"/>
  <c r="C59" i="3"/>
  <c r="C60" i="3" s="1"/>
  <c r="C108" i="3" s="1"/>
  <c r="E54" i="3"/>
  <c r="F54" i="3"/>
  <c r="E101" i="3"/>
  <c r="D101" i="3"/>
  <c r="C104" i="3"/>
  <c r="C106" i="3" s="1"/>
  <c r="B106" i="3"/>
  <c r="B59" i="3" l="1"/>
  <c r="B60" i="3" s="1"/>
  <c r="B108" i="3" s="1"/>
  <c r="B111" i="3" s="1"/>
  <c r="C18" i="6"/>
  <c r="C21" i="6" s="1"/>
  <c r="C23" i="6" s="1"/>
  <c r="C11" i="4"/>
  <c r="E13" i="4"/>
  <c r="E104" i="3"/>
  <c r="E106" i="3" s="1"/>
  <c r="D104" i="3"/>
  <c r="D106" i="3" s="1"/>
  <c r="G18" i="6"/>
  <c r="G21" i="6" s="1"/>
  <c r="G23" i="6" s="1"/>
  <c r="G30" i="6" s="1"/>
  <c r="G11" i="4"/>
  <c r="F59" i="3"/>
  <c r="F60" i="3" s="1"/>
  <c r="F108" i="3" s="1"/>
  <c r="D31" i="4"/>
  <c r="D34" i="4" s="1"/>
  <c r="E22" i="5" s="1"/>
  <c r="E23" i="5" s="1"/>
  <c r="D26" i="6" s="1"/>
  <c r="D9" i="4"/>
  <c r="D15" i="4" s="1"/>
  <c r="C111" i="3"/>
  <c r="F13" i="4"/>
  <c r="F104" i="3"/>
  <c r="F106" i="3" s="1"/>
  <c r="E18" i="6"/>
  <c r="E21" i="6" s="1"/>
  <c r="E23" i="6" s="1"/>
  <c r="E30" i="6" s="1"/>
  <c r="E11" i="4"/>
  <c r="D59" i="3"/>
  <c r="D60" i="3" s="1"/>
  <c r="D108" i="3" s="1"/>
  <c r="E59" i="3"/>
  <c r="E60" i="3" s="1"/>
  <c r="E108" i="3" s="1"/>
  <c r="F18" i="6"/>
  <c r="F21" i="6" s="1"/>
  <c r="F23" i="6" s="1"/>
  <c r="F30" i="6" s="1"/>
  <c r="F11" i="4"/>
  <c r="B113" i="3" l="1"/>
  <c r="B115" i="3"/>
  <c r="H15" i="5"/>
  <c r="G31" i="4"/>
  <c r="G34" i="4" s="1"/>
  <c r="H22" i="5" s="1"/>
  <c r="H23" i="5" s="1"/>
  <c r="G26" i="6" s="1"/>
  <c r="D9" i="7" s="1"/>
  <c r="G9" i="4"/>
  <c r="G15" i="4" s="1"/>
  <c r="I17" i="5"/>
  <c r="F111" i="3"/>
  <c r="B11" i="4"/>
  <c r="C31" i="4" s="1"/>
  <c r="C34" i="4" s="1"/>
  <c r="D22" i="5" s="1"/>
  <c r="D23" i="5" s="1"/>
  <c r="C26" i="6" s="1"/>
  <c r="D5" i="7" s="1"/>
  <c r="C9" i="4"/>
  <c r="C15" i="4" s="1"/>
  <c r="D24" i="4" s="1"/>
  <c r="F15" i="5"/>
  <c r="E31" i="4"/>
  <c r="E34" i="4" s="1"/>
  <c r="F22" i="5" s="1"/>
  <c r="F23" i="5" s="1"/>
  <c r="E26" i="6" s="1"/>
  <c r="D7" i="7" s="1"/>
  <c r="E9" i="4"/>
  <c r="E15" i="4" s="1"/>
  <c r="G15" i="5"/>
  <c r="F31" i="4"/>
  <c r="F34" i="4" s="1"/>
  <c r="G22" i="5" s="1"/>
  <c r="G23" i="5" s="1"/>
  <c r="F26" i="6" s="1"/>
  <c r="D8" i="7" s="1"/>
  <c r="F9" i="4"/>
  <c r="F15" i="4" s="1"/>
  <c r="D6" i="7"/>
  <c r="D28" i="6"/>
  <c r="D111" i="3"/>
  <c r="C113" i="3"/>
  <c r="C115" i="3"/>
  <c r="E111" i="3"/>
  <c r="F24" i="4" l="1"/>
  <c r="G24" i="4"/>
  <c r="E115" i="3"/>
  <c r="E113" i="3"/>
  <c r="D115" i="3"/>
  <c r="D113" i="3"/>
  <c r="H5" i="7"/>
  <c r="B116" i="3"/>
  <c r="E5" i="7" s="1"/>
  <c r="E24" i="4"/>
  <c r="B31" i="4"/>
  <c r="B34" i="4" s="1"/>
  <c r="C22" i="5" s="1"/>
  <c r="C15" i="5"/>
  <c r="B9" i="4"/>
  <c r="B15" i="4" s="1"/>
  <c r="D15" i="5"/>
  <c r="H6" i="7"/>
  <c r="C116" i="3"/>
  <c r="E6" i="7" s="1"/>
  <c r="J6" i="7"/>
  <c r="K6" i="7" s="1"/>
  <c r="D30" i="6"/>
  <c r="F115" i="3"/>
  <c r="F113" i="3"/>
  <c r="H9" i="7" l="1"/>
  <c r="K9" i="7" s="1"/>
  <c r="F116" i="3"/>
  <c r="E9" i="7" s="1"/>
  <c r="I22" i="5"/>
  <c r="C23" i="5"/>
  <c r="H7" i="7"/>
  <c r="K7" i="7" s="1"/>
  <c r="D117" i="3"/>
  <c r="F7" i="7" s="1"/>
  <c r="D116" i="3"/>
  <c r="E7" i="7" s="1"/>
  <c r="E11" i="7" s="1"/>
  <c r="C117" i="3"/>
  <c r="B117" i="3"/>
  <c r="F5" i="7" s="1"/>
  <c r="C18" i="5"/>
  <c r="I15" i="5"/>
  <c r="B22" i="4"/>
  <c r="B25" i="4" s="1"/>
  <c r="B36" i="4" s="1"/>
  <c r="B24" i="4"/>
  <c r="H11" i="7"/>
  <c r="H8" i="7"/>
  <c r="K8" i="7" s="1"/>
  <c r="E116" i="3"/>
  <c r="E8" i="7" s="1"/>
  <c r="C4" i="7" l="1"/>
  <c r="C25" i="5"/>
  <c r="I23" i="5"/>
  <c r="B27" i="6"/>
  <c r="B26" i="6"/>
  <c r="E117" i="3"/>
  <c r="F8" i="7" s="1"/>
  <c r="D119" i="3"/>
  <c r="F117" i="3"/>
  <c r="F9" i="7" s="1"/>
  <c r="E119" i="3"/>
  <c r="F6" i="7"/>
  <c r="F11" i="7" s="1"/>
  <c r="C119" i="3"/>
  <c r="B119" i="3"/>
  <c r="F119" i="3"/>
  <c r="E120" i="3" l="1"/>
  <c r="F19" i="4" s="1"/>
  <c r="E123" i="3"/>
  <c r="E125" i="3" s="1"/>
  <c r="F120" i="3"/>
  <c r="G19" i="4" s="1"/>
  <c r="G22" i="4" s="1"/>
  <c r="F123" i="3"/>
  <c r="F125" i="3" s="1"/>
  <c r="C25" i="6"/>
  <c r="C28" i="6" s="1"/>
  <c r="D4" i="7"/>
  <c r="D11" i="7" s="1"/>
  <c r="B120" i="3"/>
  <c r="C19" i="4" s="1"/>
  <c r="B123" i="3"/>
  <c r="B125" i="3" s="1"/>
  <c r="C123" i="3"/>
  <c r="C125" i="3" s="1"/>
  <c r="C120" i="3"/>
  <c r="D19" i="4" s="1"/>
  <c r="D123" i="3"/>
  <c r="D125" i="3" s="1"/>
  <c r="D120" i="3"/>
  <c r="E19" i="4" s="1"/>
  <c r="C22" i="4" l="1"/>
  <c r="C36" i="4" s="1"/>
  <c r="J5" i="7"/>
  <c r="C30" i="6"/>
  <c r="H18" i="5"/>
  <c r="F22" i="4"/>
  <c r="F18" i="5"/>
  <c r="D22" i="4"/>
  <c r="D25" i="4" s="1"/>
  <c r="D36" i="4" s="1"/>
  <c r="G4" i="7"/>
  <c r="G18" i="5"/>
  <c r="E22" i="4"/>
  <c r="E25" i="4" l="1"/>
  <c r="E36" i="4" s="1"/>
  <c r="K5" i="7"/>
  <c r="J11" i="7"/>
  <c r="C8" i="7"/>
  <c r="G8" i="7" s="1"/>
  <c r="L8" i="7" s="1"/>
  <c r="G25" i="5"/>
  <c r="F25" i="4"/>
  <c r="F36" i="4" s="1"/>
  <c r="G25" i="4"/>
  <c r="G36" i="4" s="1"/>
  <c r="C7" i="7"/>
  <c r="G7" i="7" s="1"/>
  <c r="L7" i="7" s="1"/>
  <c r="F25" i="5"/>
  <c r="L4" i="7"/>
  <c r="G9" i="7"/>
  <c r="L9" i="7" s="1"/>
  <c r="H25" i="5"/>
  <c r="I12" i="5"/>
  <c r="C5" i="7" l="1"/>
  <c r="G5" i="7" s="1"/>
  <c r="L5" i="7" s="1"/>
  <c r="M5" i="7" s="1"/>
  <c r="D25" i="5"/>
  <c r="I18" i="5"/>
  <c r="C6" i="7"/>
  <c r="E25" i="5"/>
  <c r="M4" i="7"/>
  <c r="K11" i="7"/>
  <c r="C11" i="7" l="1"/>
  <c r="G6" i="7"/>
  <c r="L6" i="7" s="1"/>
  <c r="M6" i="7" s="1"/>
  <c r="M7" i="7" s="1"/>
  <c r="M8" i="7" s="1"/>
  <c r="M9" i="7" s="1"/>
  <c r="I25" i="5"/>
  <c r="G11" i="7" l="1"/>
  <c r="L11" i="7"/>
</calcChain>
</file>

<file path=xl/sharedStrings.xml><?xml version="1.0" encoding="utf-8"?>
<sst xmlns="http://schemas.openxmlformats.org/spreadsheetml/2006/main" count="965" uniqueCount="625">
  <si>
    <t>ESTA PLANILLA PUEDE SER UTILIZADA SOLAMENTE PARA EL TRABAJO PRACTICO:</t>
  </si>
  <si>
    <t>Tasa porcentual de IVA</t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</si>
  <si>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</si>
  <si>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</si>
  <si>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</si>
  <si>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</si>
  <si>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</si>
  <si>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</si>
  <si>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</si>
  <si>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</si>
  <si>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</si>
  <si>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</si>
  <si>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</si>
  <si>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</si>
  <si>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</si>
  <si>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</si>
  <si>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</si>
  <si>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</si>
  <si>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</si>
  <si>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</si>
  <si>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</si>
  <si>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</si>
  <si>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</si>
  <si>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</si>
  <si>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</si>
  <si>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</si>
  <si>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</si>
  <si>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</si>
  <si>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</si>
  <si>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</si>
  <si>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</si>
  <si>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</si>
  <si>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</si>
  <si>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</si>
  <si>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</si>
  <si>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</si>
  <si>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</si>
  <si>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</si>
  <si>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</si>
  <si>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</si>
  <si>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</si>
  <si>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</si>
  <si>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RECUPERATORIO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</si>
  <si>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</si>
  <si>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</si>
  <si>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</si>
  <si>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</si>
  <si>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</si>
  <si>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</si>
  <si>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</si>
  <si>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</si>
  <si>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</si>
  <si>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</si>
  <si>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</si>
  <si>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</si>
  <si>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</si>
  <si>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</si>
  <si>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</si>
  <si>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</si>
  <si>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</si>
  <si>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</si>
  <si>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</si>
  <si>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</si>
  <si>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</si>
  <si>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</si>
  <si>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</si>
  <si>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</si>
  <si>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</si>
  <si>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</si>
  <si>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</si>
  <si>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</si>
  <si>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</si>
  <si>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</si>
  <si>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</si>
  <si>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</si>
  <si>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</si>
  <si>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</si>
  <si>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</si>
  <si>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</si>
  <si>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</si>
  <si>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</si>
  <si>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</si>
  <si>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</si>
  <si>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</si>
  <si>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</si>
  <si>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</si>
  <si>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</si>
  <si>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</si>
  <si>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</si>
  <si>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</si>
  <si>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</si>
  <si>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</si>
  <si>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</si>
  <si>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</si>
  <si>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</si>
  <si>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</si>
  <si>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</si>
  <si>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</si>
  <si>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</si>
  <si>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</si>
  <si>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</si>
  <si>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</si>
  <si>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</si>
  <si>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</si>
  <si>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</si>
  <si>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</si>
  <si>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</si>
  <si>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</si>
  <si>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</si>
  <si>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</si>
  <si>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</si>
  <si>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</si>
  <si>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</si>
  <si>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</si>
  <si>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</si>
  <si>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</si>
  <si>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</si>
  <si>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</si>
  <si>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</si>
  <si>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</si>
  <si>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</si>
  <si>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</si>
  <si>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</si>
  <si>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</si>
  <si>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</si>
  <si>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</si>
  <si>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Personal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</si>
  <si>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</si>
  <si>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</si>
  <si>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</si>
  <si>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</si>
  <si>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</si>
  <si>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</si>
  <si>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</si>
  <si>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</si>
  <si>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</si>
  <si>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</si>
  <si>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</si>
  <si>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</si>
  <si>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</si>
  <si>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</si>
  <si>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</si>
  <si>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</si>
  <si>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</si>
  <si>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</si>
  <si>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</si>
  <si>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</si>
  <si>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</si>
  <si>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</si>
  <si>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</si>
  <si>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</si>
  <si>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</si>
  <si>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</si>
  <si>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</si>
  <si>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</si>
  <si>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</si>
  <si>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</si>
  <si>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</si>
  <si>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</si>
  <si>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</si>
  <si>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</si>
  <si>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</si>
  <si>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</si>
  <si>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</si>
  <si>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</si>
  <si>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</si>
  <si>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</si>
  <si>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</si>
  <si>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</si>
  <si>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</si>
  <si>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</si>
  <si>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</si>
  <si>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</si>
  <si>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</si>
  <si>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</si>
  <si>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</si>
  <si>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</si>
  <si>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</si>
  <si>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</si>
  <si>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</si>
  <si>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</si>
  <si>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</si>
  <si>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</si>
  <si>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</si>
  <si>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</si>
  <si>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</si>
  <si>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</si>
  <si>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</si>
  <si>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</si>
  <si>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</si>
  <si>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</si>
  <si>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</si>
  <si>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</si>
  <si>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</si>
  <si>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</si>
  <si>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</si>
  <si>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</si>
  <si>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</si>
  <si>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</si>
  <si>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</si>
  <si>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</si>
  <si>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</si>
  <si>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</si>
  <si>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</si>
  <si>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</si>
  <si>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</si>
  <si>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</si>
  <si>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</si>
  <si>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</si>
  <si>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</si>
  <si>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</si>
  <si>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</si>
  <si>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</si>
  <si>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</si>
  <si>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</si>
  <si>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</si>
  <si>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</si>
  <si>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</si>
  <si>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</si>
  <si>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</si>
  <si>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</si>
  <si>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</si>
  <si>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</si>
  <si>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</si>
  <si>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</si>
  <si>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</si>
  <si>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</si>
  <si>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</si>
  <si>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</si>
  <si>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</si>
  <si>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</si>
  <si>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</si>
  <si>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</si>
  <si>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</si>
  <si>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</si>
  <si>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</si>
  <si>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</si>
  <si>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</si>
  <si>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</si>
  <si>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</si>
  <si>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</si>
  <si>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</si>
  <si>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</si>
  <si>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</si>
  <si>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</si>
  <si>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</si>
  <si>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</si>
  <si>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</si>
  <si>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</si>
  <si>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</si>
  <si>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</si>
  <si>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</si>
  <si>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</si>
  <si>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</si>
  <si>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</si>
  <si>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</si>
  <si>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</si>
  <si>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</si>
  <si>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</si>
  <si>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</si>
  <si>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</si>
  <si>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</si>
  <si>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</si>
  <si>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</si>
  <si>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</si>
  <si>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</si>
  <si>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</si>
  <si>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</si>
  <si>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</si>
  <si>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</si>
  <si>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</si>
  <si>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</si>
  <si>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</si>
  <si>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</si>
  <si>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</si>
  <si>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</si>
  <si>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</si>
  <si>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</si>
  <si>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</si>
  <si>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</si>
  <si>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</si>
  <si>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</si>
  <si>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</si>
  <si>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</si>
  <si>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</si>
  <si>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</si>
  <si>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</si>
  <si>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</si>
  <si>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</si>
  <si>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</si>
  <si>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</si>
  <si>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</si>
  <si>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</si>
  <si>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</si>
  <si>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</si>
  <si>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</si>
  <si>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</si>
  <si>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</si>
  <si>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</si>
  <si>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</si>
  <si>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</si>
  <si>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</si>
  <si>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</si>
  <si>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</si>
  <si>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</si>
  <si>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</si>
  <si>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</si>
  <si>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</si>
  <si>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</si>
  <si>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</si>
  <si>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</si>
  <si>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</si>
  <si>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</si>
  <si>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</si>
  <si>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</si>
  <si>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</si>
  <si>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</si>
  <si>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</si>
  <si>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</si>
  <si>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</si>
  <si>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</si>
  <si>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</si>
  <si>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</si>
  <si>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</si>
  <si>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</si>
  <si>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</si>
  <si>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</si>
  <si>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</si>
  <si>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</si>
  <si>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</si>
  <si>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</si>
  <si>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</si>
  <si>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</si>
  <si>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</si>
  <si>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</si>
  <si>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</si>
  <si>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</si>
  <si>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</si>
  <si>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</si>
  <si>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</si>
  <si>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</si>
  <si>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</si>
  <si>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</si>
  <si>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</si>
  <si>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</si>
  <si>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</si>
  <si>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</si>
  <si>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</si>
  <si>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</si>
  <si>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</si>
  <si>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</si>
  <si>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</si>
  <si>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</si>
  <si>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</si>
  <si>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</si>
  <si>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</si>
  <si>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</si>
  <si>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</si>
  <si>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</si>
  <si>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</si>
  <si>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</si>
  <si>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</si>
  <si>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</si>
  <si>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</si>
  <si>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</si>
  <si>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</si>
  <si>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</si>
  <si>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</si>
  <si>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</si>
  <si>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</si>
  <si>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</si>
  <si>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</si>
  <si>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</si>
  <si>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</si>
  <si>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</si>
  <si>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</si>
  <si>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</si>
  <si>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</si>
  <si>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</si>
  <si>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</si>
  <si>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para el inversor</t>
  </si>
  <si>
    <t>en años para el inversor</t>
  </si>
  <si>
    <t>TOR</t>
  </si>
  <si>
    <t>Solución fisiológica Serum</t>
  </si>
  <si>
    <t>Redondeado a terrenos estándar</t>
  </si>
  <si>
    <t>Máquinas</t>
  </si>
  <si>
    <t>Bomba sanitaria</t>
  </si>
  <si>
    <t>Codificadora de lote</t>
  </si>
  <si>
    <t>Fraccionadora</t>
  </si>
  <si>
    <t>Precio</t>
  </si>
  <si>
    <t>Unidad</t>
  </si>
  <si>
    <t>Sopladora</t>
  </si>
  <si>
    <t>Ablandador de agua</t>
  </si>
  <si>
    <t>Caldera</t>
  </si>
  <si>
    <t>Tanques de acero inoxidable</t>
  </si>
  <si>
    <t>Equipo de ósmosis inversa</t>
  </si>
  <si>
    <t>destilador múltiple</t>
  </si>
  <si>
    <t>Cerradora de cajas</t>
  </si>
  <si>
    <t>Equipamiento de laboratorio de control</t>
  </si>
  <si>
    <t>Secador de aire</t>
  </si>
  <si>
    <t>Filtro de aire</t>
  </si>
  <si>
    <t>Equipo de acondicionamiento de aire</t>
  </si>
  <si>
    <t>Molino de plásticos</t>
  </si>
  <si>
    <t>Mezclador de plásticos</t>
  </si>
  <si>
    <t>Refrigerador de agua</t>
  </si>
  <si>
    <t>Impresora tampográfica</t>
  </si>
  <si>
    <t>m2 en Córdoba</t>
  </si>
  <si>
    <t>Referencia</t>
  </si>
  <si>
    <t>peso</t>
  </si>
  <si>
    <t>Hectárea en Córdoba</t>
  </si>
  <si>
    <t>USD</t>
  </si>
  <si>
    <t>Zorra</t>
  </si>
  <si>
    <t>Camión desde aduana hasta planta</t>
  </si>
  <si>
    <t>Auto</t>
  </si>
  <si>
    <t>Muebles</t>
  </si>
  <si>
    <t>Escritorio</t>
  </si>
  <si>
    <t>Silla normal</t>
  </si>
  <si>
    <t>Silla con ruedas</t>
  </si>
  <si>
    <t>Estantería</t>
  </si>
  <si>
    <t>Armario</t>
  </si>
  <si>
    <t>Matafuegos</t>
  </si>
  <si>
    <t xml:space="preserve">Tacho de basura </t>
  </si>
  <si>
    <t>Mesada de cocina</t>
  </si>
  <si>
    <t>Bacha</t>
  </si>
  <si>
    <t>Dispenser de agua</t>
  </si>
  <si>
    <t>alacena</t>
  </si>
  <si>
    <t>Teléfono fijo</t>
  </si>
  <si>
    <t>Cámaras de segurdad</t>
  </si>
  <si>
    <t>Computadora</t>
  </si>
  <si>
    <t>Puiesto de seguridad</t>
  </si>
  <si>
    <t>Inodoro</t>
  </si>
  <si>
    <t>Lavamanos</t>
  </si>
  <si>
    <t>Espejo</t>
  </si>
  <si>
    <t>Locker</t>
  </si>
  <si>
    <t>Ducha</t>
  </si>
  <si>
    <t>Aire acondicionado</t>
  </si>
  <si>
    <t>Ascensor</t>
  </si>
  <si>
    <t>Microondas</t>
  </si>
  <si>
    <t>Heladera</t>
  </si>
  <si>
    <t>juego de cubiertos</t>
  </si>
  <si>
    <t>Vaso</t>
  </si>
  <si>
    <t>Fotocopiadora</t>
  </si>
  <si>
    <t>Impresora</t>
  </si>
  <si>
    <t>Servidor</t>
  </si>
  <si>
    <t>Rack servidor</t>
  </si>
  <si>
    <t>Carteles de emergencia</t>
  </si>
  <si>
    <t>Protector auditivo</t>
  </si>
  <si>
    <t>Zapatos de protección.</t>
  </si>
  <si>
    <t>Gafas de protección</t>
  </si>
  <si>
    <t>Uniforme de trabajo</t>
  </si>
  <si>
    <t>Proyector</t>
  </si>
  <si>
    <t>Grupo electrógeno</t>
  </si>
  <si>
    <t>Pallet</t>
  </si>
  <si>
    <t>Reloj de pared</t>
  </si>
  <si>
    <t>Productos de limpieza</t>
  </si>
  <si>
    <t>Herramientas varias</t>
  </si>
  <si>
    <t>Enchufes e interruptores</t>
  </si>
  <si>
    <t>Lámpara de escritorio</t>
  </si>
  <si>
    <t>Moneda</t>
  </si>
  <si>
    <t>Peso</t>
  </si>
  <si>
    <t>Luminaria</t>
  </si>
  <si>
    <t>Tubo de iluminación</t>
  </si>
  <si>
    <t>Instalaciones (aire, agua, gas, luz)</t>
  </si>
  <si>
    <t>Autoclave</t>
  </si>
  <si>
    <t>Cantidad</t>
  </si>
  <si>
    <t>Artículos librería varios</t>
  </si>
  <si>
    <t>Agua</t>
  </si>
  <si>
    <t>Cloruro de sodio</t>
  </si>
  <si>
    <t>Polietileno</t>
  </si>
  <si>
    <t>Mano de Obra</t>
  </si>
  <si>
    <t>MOD</t>
  </si>
  <si>
    <t>MOI</t>
  </si>
  <si>
    <t>Cargas sociales</t>
  </si>
  <si>
    <t>peso/litro</t>
  </si>
  <si>
    <t>USD/Kg</t>
  </si>
  <si>
    <t>operarios</t>
  </si>
  <si>
    <t>$/h sin cargas</t>
  </si>
  <si>
    <t>Horas</t>
  </si>
  <si>
    <t>Gerente general</t>
  </si>
  <si>
    <t>Jefe de mantenimiento</t>
  </si>
  <si>
    <t>Jefe de producción</t>
  </si>
  <si>
    <t>Jefe de laboratorio</t>
  </si>
  <si>
    <t>Encargado de limpieza</t>
  </si>
  <si>
    <t>Encargado de CC</t>
  </si>
  <si>
    <t>Empleados de CC</t>
  </si>
  <si>
    <t>Envasadores</t>
  </si>
  <si>
    <t>Gasto anual</t>
  </si>
  <si>
    <t>Sueldo($)</t>
  </si>
  <si>
    <t>Gasto anual mantenimiento</t>
  </si>
  <si>
    <t>horas extra</t>
  </si>
  <si>
    <t>veces al año</t>
  </si>
  <si>
    <t>% respecto al año 1 del año 2 para MOI y repuestos</t>
  </si>
  <si>
    <t>Para materiales</t>
  </si>
  <si>
    <t>Mantenimiento</t>
  </si>
  <si>
    <t>Respuestos</t>
  </si>
  <si>
    <t>Producción</t>
  </si>
  <si>
    <t>s/repuestos</t>
  </si>
  <si>
    <t>anual de maq</t>
  </si>
  <si>
    <t xml:space="preserve"> Flete respuesto</t>
  </si>
  <si>
    <t>Importación</t>
  </si>
  <si>
    <t xml:space="preserve">Servicios </t>
  </si>
  <si>
    <t>Gas</t>
  </si>
  <si>
    <t>Consumo</t>
  </si>
  <si>
    <t>unidad</t>
  </si>
  <si>
    <t>W</t>
  </si>
  <si>
    <t>m3</t>
  </si>
  <si>
    <t>Cargo fijo</t>
  </si>
  <si>
    <t>Consumo año 1 respecto al 2</t>
  </si>
  <si>
    <t>consumo producción</t>
  </si>
  <si>
    <t>Mantenimiento (W)</t>
  </si>
  <si>
    <t>Gas oil</t>
  </si>
  <si>
    <t>Fuel oil</t>
  </si>
  <si>
    <t>litros</t>
  </si>
  <si>
    <t>Impuestos</t>
  </si>
  <si>
    <t>Tasa municipal anual</t>
  </si>
  <si>
    <t>Impuesto inmobiliario</t>
  </si>
  <si>
    <t>Impuesto automotor</t>
  </si>
  <si>
    <t>Valor</t>
  </si>
  <si>
    <t>% producción</t>
  </si>
  <si>
    <t>Automóvil</t>
  </si>
  <si>
    <t>peso/gramo</t>
  </si>
  <si>
    <t>MC&amp;SE</t>
  </si>
  <si>
    <t>Producción año 1</t>
  </si>
  <si>
    <t>Producción año 2-5</t>
  </si>
  <si>
    <t>Consumo esp MP</t>
  </si>
  <si>
    <t>Unidades</t>
  </si>
  <si>
    <t>Consumo agua año1</t>
  </si>
  <si>
    <t>Consumo polietileno año1</t>
  </si>
  <si>
    <t>Consumo sal año 1</t>
  </si>
  <si>
    <t>Consumo agua año 2-5</t>
  </si>
  <si>
    <t>Consumo sal año 2-5</t>
  </si>
  <si>
    <t>Consumo polietileno año 2-5</t>
  </si>
  <si>
    <t>Litro</t>
  </si>
  <si>
    <t>Kg</t>
  </si>
  <si>
    <t>Gramo</t>
  </si>
  <si>
    <t>Ploietileno</t>
  </si>
  <si>
    <t>Sal</t>
  </si>
  <si>
    <t>Consumo en PM</t>
  </si>
  <si>
    <t>Consumo agua año 1 en PT</t>
  </si>
  <si>
    <t>Consumo polietileno año1 en PT</t>
  </si>
  <si>
    <t>Consumo sal año 1 en PT</t>
  </si>
  <si>
    <t>Consumo agua año 2-5 en PT</t>
  </si>
  <si>
    <t>Consumo polietileno año 2-5 en PT</t>
  </si>
  <si>
    <t>Consumo sal año 2-5 en PT</t>
  </si>
  <si>
    <t>Producción durante PM</t>
  </si>
  <si>
    <t>unidades</t>
  </si>
  <si>
    <t>Puesto</t>
  </si>
  <si>
    <t>Sueldo ($)</t>
  </si>
  <si>
    <t xml:space="preserve">Coeficiente </t>
  </si>
  <si>
    <t>Jefe administrativo</t>
  </si>
  <si>
    <t>Encargado de RRHH</t>
  </si>
  <si>
    <t>Personal administrativo</t>
  </si>
  <si>
    <t>Personal comercial</t>
  </si>
  <si>
    <t>Jefe de vetas</t>
  </si>
  <si>
    <t>Jefe de compras</t>
  </si>
  <si>
    <t>Vendedor</t>
  </si>
  <si>
    <t>Comprador</t>
  </si>
  <si>
    <t>El gasto en personal en el año 1 respecto del año 2, tanto para comercial como para administración.</t>
  </si>
  <si>
    <t>Porcentaje correspondiente de amortización tanto para comercial como para administración</t>
  </si>
  <si>
    <t>Papelería y útiles</t>
  </si>
  <si>
    <t>Limpieza</t>
  </si>
  <si>
    <t>Empleado administrativo</t>
  </si>
  <si>
    <t>Mantenimiento(s/bienes uso)</t>
  </si>
  <si>
    <t>Gasto de energía eléctrica en el año 1 respecto del año 2 para administración es de</t>
  </si>
  <si>
    <t>Consumo de energía eléctrica del área de administración</t>
  </si>
  <si>
    <t>Consumo de energía eléctrica del área de comercialización</t>
  </si>
  <si>
    <t>Gasto en combustible en el año 1 respecto del año 2 para el área de administración</t>
  </si>
  <si>
    <t>Gasto en combustible en el año1 respecto del año 2 para el área de comercialización</t>
  </si>
  <si>
    <t>Combustible administración</t>
  </si>
  <si>
    <t>Materiales Administración</t>
  </si>
  <si>
    <t>Gastos varios de administración</t>
  </si>
  <si>
    <t>Honorarios profesionales</t>
  </si>
  <si>
    <t>Gastos de representación</t>
  </si>
  <si>
    <t>Viajes y becas</t>
  </si>
  <si>
    <t>Gastos de oficina</t>
  </si>
  <si>
    <t>Porcentaje de absorción de la tasa municipal del área de administración</t>
  </si>
  <si>
    <t>Porcentaje de absorción del impuesto inmobiliario del área de administración</t>
  </si>
  <si>
    <t>Impuesto automotor correspondiente al área de administración</t>
  </si>
  <si>
    <t>Tasa bancaria</t>
  </si>
  <si>
    <t>Ventas en régimen</t>
  </si>
  <si>
    <t>(admin, prod y comer)</t>
  </si>
  <si>
    <t>Gasto de energía eléctrica en el año 1 respecto del año 2 para comercialización es de</t>
  </si>
  <si>
    <t xml:space="preserve">El combustible para comercialización respecto de administración es de </t>
  </si>
  <si>
    <t>Materiales comercialización</t>
  </si>
  <si>
    <t>Bienes de uso correspondientes a producción</t>
  </si>
  <si>
    <t>Limpieza (sobre sueldos)</t>
  </si>
  <si>
    <t>Papelería y útiles(s/ventas)</t>
  </si>
  <si>
    <t>Embalaje (s/ventas)</t>
  </si>
  <si>
    <t xml:space="preserve">Gasto en materiales en el año 1 respecto del año 2 para administración y comercial es de </t>
  </si>
  <si>
    <t>Gastos varios de comercialización</t>
  </si>
  <si>
    <t>Representación</t>
  </si>
  <si>
    <t>Pasajes y gastos de estadía</t>
  </si>
  <si>
    <t>Gastos de oficina varios</t>
  </si>
  <si>
    <t>Publicidad especializada</t>
  </si>
  <si>
    <t>Unidades por pallet</t>
  </si>
  <si>
    <t>Flete régimen</t>
  </si>
  <si>
    <t>Flete año 1</t>
  </si>
  <si>
    <t>Impuesto a los sellos del área de administración</t>
  </si>
  <si>
    <t>% de participación</t>
  </si>
  <si>
    <t>Porcentaje de absorción de la tasa municipal del área de comercialización</t>
  </si>
  <si>
    <t>Porcentaje de absorción del impuesto inmobiliario del área comercial</t>
  </si>
  <si>
    <t>Impuesto automotor correspondiente a comercialización</t>
  </si>
  <si>
    <t>Impuesto a los ingresos brutos</t>
  </si>
  <si>
    <t>Mínimo en caja y banco</t>
  </si>
  <si>
    <t>Plazo de financiación</t>
  </si>
  <si>
    <t>Stock de útiles</t>
  </si>
  <si>
    <t>días</t>
  </si>
  <si>
    <t>meses</t>
  </si>
  <si>
    <t>de verntas</t>
  </si>
  <si>
    <t>Sal en año 0</t>
  </si>
  <si>
    <t>Plástico en año 0</t>
  </si>
  <si>
    <t>Gramos</t>
  </si>
  <si>
    <t>Stock mat producción</t>
  </si>
  <si>
    <t>Stock elaborado</t>
  </si>
  <si>
    <t>Incrementos</t>
  </si>
  <si>
    <t xml:space="preserve">año 1 </t>
  </si>
  <si>
    <t>año 2</t>
  </si>
  <si>
    <t>año 3</t>
  </si>
  <si>
    <t>año 4</t>
  </si>
  <si>
    <t>año 5</t>
  </si>
  <si>
    <t>Kc=</t>
  </si>
  <si>
    <t>Tasa superior</t>
  </si>
  <si>
    <t>Tasa inferior</t>
  </si>
  <si>
    <t>VANinf=</t>
  </si>
  <si>
    <t>VANsup=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</si>
</sst>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\ %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&quot;$&quot;\ #,##0.00"/>
    <numFmt numFmtId="171" formatCode="0.000%"/>
  </numFmts>
  <fonts count="18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168" fontId="16" fillId="0" borderId="0" applyFill="0" applyBorder="0" applyAlignment="0" applyProtection="0"/>
    <xf numFmtId="165" fontId="16" fillId="0" borderId="0" applyFill="0" applyBorder="0" applyAlignment="0" applyProtection="0"/>
    <xf numFmtId="9" fontId="16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360">
    <xf numFmtId="0" fontId="0" fillId="0" borderId="0" xfId="0"/>
    <xf numFmtId="0" fontId="12" fillId="0" borderId="0" xfId="0" applyFont="1"/>
    <xf numFmtId="0" fontId="13" fillId="0" borderId="2" xfId="0" applyFont="1" applyBorder="1"/>
    <xf numFmtId="0" fontId="13" fillId="0" borderId="0" xfId="0" applyFont="1" applyAlignment="1">
      <alignment horizontal="right"/>
    </xf>
    <xf numFmtId="9" fontId="13" fillId="3" borderId="2" xfId="3" applyFont="1" applyFill="1" applyBorder="1" applyAlignment="1" applyProtection="1"/>
    <xf numFmtId="0" fontId="11" fillId="0" borderId="0" xfId="0" applyFont="1"/>
    <xf numFmtId="0" fontId="0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/>
    </xf>
    <xf numFmtId="164" fontId="13" fillId="3" borderId="2" xfId="0" applyNumberFormat="1" applyFont="1" applyFill="1" applyBorder="1" applyAlignment="1">
      <alignment horizontal="center"/>
    </xf>
    <xf numFmtId="0" fontId="0" fillId="9" borderId="3" xfId="0" applyFill="1" applyBorder="1" applyProtection="1">
      <protection locked="0"/>
    </xf>
    <xf numFmtId="0" fontId="0" fillId="9" borderId="4" xfId="0" applyFill="1" applyBorder="1"/>
    <xf numFmtId="0" fontId="0" fillId="9" borderId="5" xfId="0" applyFill="1" applyBorder="1"/>
    <xf numFmtId="0" fontId="0" fillId="9" borderId="2" xfId="0" applyFill="1" applyBorder="1" applyProtection="1">
      <protection locked="0"/>
    </xf>
    <xf numFmtId="0" fontId="13" fillId="0" borderId="0" xfId="0" applyFont="1"/>
    <xf numFmtId="0" fontId="0" fillId="9" borderId="6" xfId="0" applyFill="1" applyBorder="1" applyProtection="1">
      <protection locked="0"/>
    </xf>
    <xf numFmtId="0" fontId="0" fillId="9" borderId="7" xfId="0" applyFill="1" applyBorder="1" applyProtection="1">
      <protection locked="0"/>
    </xf>
    <xf numFmtId="0" fontId="0" fillId="0" borderId="0" xfId="0" applyFill="1"/>
    <xf numFmtId="0" fontId="14" fillId="0" borderId="8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4" fillId="0" borderId="11" xfId="0" applyFont="1" applyFill="1" applyBorder="1"/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0" fillId="0" borderId="14" xfId="0" applyFill="1" applyBorder="1"/>
    <xf numFmtId="0" fontId="13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5" fontId="0" fillId="0" borderId="17" xfId="2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5" fontId="0" fillId="0" borderId="17" xfId="2" applyFont="1" applyFill="1" applyBorder="1" applyAlignment="1" applyProtection="1"/>
    <xf numFmtId="0" fontId="13" fillId="0" borderId="11" xfId="0" applyFont="1" applyFill="1" applyBorder="1" applyAlignment="1">
      <alignment horizontal="left"/>
    </xf>
    <xf numFmtId="165" fontId="0" fillId="0" borderId="12" xfId="2" applyFont="1" applyFill="1" applyBorder="1" applyAlignment="1" applyProtection="1">
      <protection locked="0"/>
    </xf>
    <xf numFmtId="0" fontId="13" fillId="0" borderId="8" xfId="0" applyFont="1" applyFill="1" applyBorder="1" applyAlignment="1">
      <alignment horizontal="center"/>
    </xf>
    <xf numFmtId="0" fontId="13" fillId="0" borderId="10" xfId="0" applyFont="1" applyFill="1" applyBorder="1"/>
    <xf numFmtId="0" fontId="13" fillId="0" borderId="11" xfId="0" applyFont="1" applyFill="1" applyBorder="1"/>
    <xf numFmtId="0" fontId="13" fillId="0" borderId="13" xfId="0" applyFont="1" applyFill="1" applyBorder="1"/>
    <xf numFmtId="0" fontId="13" fillId="0" borderId="8" xfId="0" applyFont="1" applyFill="1" applyBorder="1"/>
    <xf numFmtId="165" fontId="0" fillId="0" borderId="9" xfId="2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3" fillId="0" borderId="14" xfId="0" applyFont="1" applyFill="1" applyBorder="1"/>
    <xf numFmtId="165" fontId="0" fillId="0" borderId="15" xfId="2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5" fontId="0" fillId="0" borderId="19" xfId="2" applyFont="1" applyFill="1" applyBorder="1" applyAlignment="1" applyProtection="1">
      <protection locked="0"/>
    </xf>
    <xf numFmtId="0" fontId="13" fillId="0" borderId="16" xfId="0" applyFont="1" applyFill="1" applyBorder="1" applyAlignment="1">
      <alignment horizontal="left"/>
    </xf>
    <xf numFmtId="166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6" fontId="0" fillId="0" borderId="17" xfId="0" applyNumberFormat="1" applyFill="1" applyBorder="1"/>
    <xf numFmtId="166" fontId="0" fillId="0" borderId="19" xfId="0" applyNumberFormat="1" applyFill="1" applyBorder="1"/>
    <xf numFmtId="166" fontId="13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6" fontId="0" fillId="0" borderId="0" xfId="0" applyNumberFormat="1" applyFill="1"/>
    <xf numFmtId="165" fontId="0" fillId="0" borderId="13" xfId="2" applyFont="1" applyFill="1" applyBorder="1" applyAlignment="1" applyProtection="1">
      <protection locked="0"/>
    </xf>
    <xf numFmtId="166" fontId="13" fillId="0" borderId="0" xfId="0" applyNumberFormat="1" applyFont="1" applyFill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165" fontId="0" fillId="0" borderId="15" xfId="2" applyFont="1" applyFill="1" applyBorder="1" applyAlignment="1" applyProtection="1">
      <alignment horizontal="center"/>
      <protection locked="0"/>
    </xf>
    <xf numFmtId="165" fontId="0" fillId="0" borderId="18" xfId="2" applyFont="1" applyFill="1" applyBorder="1" applyAlignment="1" applyProtection="1">
      <alignment horizontal="center"/>
      <protection locked="0"/>
    </xf>
    <xf numFmtId="165" fontId="0" fillId="0" borderId="17" xfId="2" applyFont="1" applyFill="1" applyBorder="1" applyAlignment="1" applyProtection="1">
      <alignment horizontal="center"/>
      <protection locked="0"/>
    </xf>
    <xf numFmtId="165" fontId="0" fillId="0" borderId="19" xfId="2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6" fontId="0" fillId="0" borderId="24" xfId="0" applyNumberFormat="1" applyFill="1" applyBorder="1" applyAlignment="1">
      <alignment horizontal="center"/>
    </xf>
    <xf numFmtId="166" fontId="0" fillId="0" borderId="25" xfId="0" applyNumberFormat="1" applyFill="1" applyBorder="1"/>
    <xf numFmtId="0" fontId="13" fillId="0" borderId="23" xfId="0" applyFont="1" applyFill="1" applyBorder="1"/>
    <xf numFmtId="165" fontId="0" fillId="0" borderId="12" xfId="2" applyFont="1" applyFill="1" applyBorder="1" applyAlignment="1" applyProtection="1">
      <alignment horizontal="center"/>
      <protection locked="0"/>
    </xf>
    <xf numFmtId="165" fontId="0" fillId="0" borderId="13" xfId="2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3" fillId="0" borderId="0" xfId="0" applyFont="1" applyFill="1"/>
    <xf numFmtId="167" fontId="0" fillId="0" borderId="0" xfId="0" applyNumberFormat="1" applyFill="1" applyAlignment="1">
      <alignment horizontal="center"/>
    </xf>
    <xf numFmtId="167" fontId="13" fillId="0" borderId="9" xfId="0" applyNumberFormat="1" applyFont="1" applyFill="1" applyBorder="1" applyAlignment="1">
      <alignment horizontal="center"/>
    </xf>
    <xf numFmtId="167" fontId="13" fillId="0" borderId="10" xfId="0" applyNumberFormat="1" applyFont="1" applyFill="1" applyBorder="1" applyAlignment="1">
      <alignment horizontal="center"/>
    </xf>
    <xf numFmtId="165" fontId="0" fillId="0" borderId="24" xfId="2" applyFont="1" applyFill="1" applyBorder="1" applyAlignment="1" applyProtection="1">
      <alignment horizontal="center"/>
      <protection locked="0"/>
    </xf>
    <xf numFmtId="165" fontId="0" fillId="0" borderId="25" xfId="2" applyFont="1" applyFill="1" applyBorder="1" applyAlignment="1" applyProtection="1">
      <alignment horizontal="center"/>
      <protection locked="0"/>
    </xf>
    <xf numFmtId="9" fontId="0" fillId="0" borderId="12" xfId="3" applyFont="1" applyFill="1" applyBorder="1" applyAlignment="1" applyProtection="1">
      <alignment horizontal="center"/>
      <protection locked="0"/>
    </xf>
    <xf numFmtId="9" fontId="0" fillId="0" borderId="13" xfId="3" applyFont="1" applyFill="1" applyBorder="1" applyAlignment="1" applyProtection="1">
      <alignment horizontal="center"/>
      <protection locked="0"/>
    </xf>
    <xf numFmtId="0" fontId="13" fillId="0" borderId="11" xfId="0" applyFont="1" applyFill="1" applyBorder="1" applyAlignment="1">
      <alignment horizontal="center"/>
    </xf>
    <xf numFmtId="165" fontId="0" fillId="0" borderId="17" xfId="2" applyFont="1" applyFill="1" applyBorder="1" applyAlignment="1" applyProtection="1">
      <alignment horizontal="center"/>
    </xf>
    <xf numFmtId="165" fontId="0" fillId="0" borderId="19" xfId="2" applyFont="1" applyFill="1" applyBorder="1" applyAlignment="1" applyProtection="1">
      <alignment horizontal="center"/>
    </xf>
    <xf numFmtId="9" fontId="0" fillId="0" borderId="17" xfId="3" applyFont="1" applyFill="1" applyBorder="1" applyAlignment="1" applyProtection="1">
      <alignment horizontal="center"/>
      <protection locked="0"/>
    </xf>
    <xf numFmtId="9" fontId="0" fillId="0" borderId="19" xfId="3" applyFont="1" applyFill="1" applyBorder="1" applyAlignment="1" applyProtection="1">
      <alignment horizontal="center"/>
      <protection locked="0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168" fontId="0" fillId="0" borderId="17" xfId="1" applyFont="1" applyFill="1" applyBorder="1" applyAlignment="1" applyProtection="1">
      <alignment horizontal="center"/>
      <protection locked="0"/>
    </xf>
    <xf numFmtId="168" fontId="0" fillId="0" borderId="19" xfId="1" applyFont="1" applyFill="1" applyBorder="1" applyAlignment="1" applyProtection="1">
      <alignment horizontal="center"/>
      <protection locked="0"/>
    </xf>
    <xf numFmtId="165" fontId="13" fillId="0" borderId="17" xfId="2" applyFont="1" applyFill="1" applyBorder="1" applyAlignment="1" applyProtection="1">
      <alignment horizontal="center"/>
      <protection locked="0"/>
    </xf>
    <xf numFmtId="165" fontId="13" fillId="0" borderId="19" xfId="2" applyFont="1" applyFill="1" applyBorder="1" applyAlignment="1" applyProtection="1">
      <alignment horizontal="center"/>
      <protection locked="0"/>
    </xf>
    <xf numFmtId="165" fontId="13" fillId="0" borderId="17" xfId="2" applyFont="1" applyFill="1" applyBorder="1" applyAlignment="1" applyProtection="1">
      <alignment horizontal="center"/>
    </xf>
    <xf numFmtId="165" fontId="13" fillId="0" borderId="19" xfId="2" applyFont="1" applyFill="1" applyBorder="1" applyAlignment="1" applyProtection="1">
      <alignment horizontal="center"/>
    </xf>
    <xf numFmtId="9" fontId="0" fillId="0" borderId="17" xfId="3" applyFont="1" applyFill="1" applyBorder="1" applyAlignment="1" applyProtection="1">
      <protection locked="0"/>
    </xf>
    <xf numFmtId="9" fontId="0" fillId="0" borderId="19" xfId="3" applyFont="1" applyFill="1" applyBorder="1" applyAlignment="1" applyProtection="1">
      <protection locked="0"/>
    </xf>
    <xf numFmtId="9" fontId="0" fillId="0" borderId="17" xfId="3" applyFont="1" applyFill="1" applyBorder="1" applyAlignment="1" applyProtection="1"/>
    <xf numFmtId="9" fontId="0" fillId="0" borderId="19" xfId="3" applyFont="1" applyFill="1" applyBorder="1" applyAlignment="1" applyProtection="1"/>
    <xf numFmtId="165" fontId="0" fillId="0" borderId="19" xfId="2" applyFont="1" applyFill="1" applyBorder="1" applyAlignment="1" applyProtection="1"/>
    <xf numFmtId="0" fontId="14" fillId="0" borderId="0" xfId="0" applyFont="1" applyFill="1"/>
    <xf numFmtId="0" fontId="0" fillId="0" borderId="0" xfId="0" applyBorder="1"/>
    <xf numFmtId="0" fontId="13" fillId="0" borderId="26" xfId="0" applyFont="1" applyFill="1" applyBorder="1"/>
    <xf numFmtId="165" fontId="0" fillId="0" borderId="15" xfId="2" applyFont="1" applyFill="1" applyBorder="1" applyAlignment="1" applyProtection="1">
      <alignment horizontal="center"/>
    </xf>
    <xf numFmtId="165" fontId="0" fillId="0" borderId="18" xfId="2" applyFont="1" applyFill="1" applyBorder="1" applyAlignment="1" applyProtection="1">
      <alignment horizontal="center"/>
    </xf>
    <xf numFmtId="0" fontId="0" fillId="0" borderId="26" xfId="0" applyFill="1" applyBorder="1"/>
    <xf numFmtId="0" fontId="13" fillId="0" borderId="27" xfId="0" applyFont="1" applyFill="1" applyBorder="1"/>
    <xf numFmtId="0" fontId="13" fillId="0" borderId="12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horizontal="center"/>
    </xf>
    <xf numFmtId="165" fontId="0" fillId="0" borderId="29" xfId="2" applyFont="1" applyFill="1" applyBorder="1" applyAlignment="1" applyProtection="1">
      <alignment horizontal="center"/>
    </xf>
    <xf numFmtId="0" fontId="0" fillId="0" borderId="26" xfId="0" applyFont="1" applyFill="1" applyBorder="1"/>
    <xf numFmtId="165" fontId="0" fillId="0" borderId="30" xfId="2" applyFont="1" applyFill="1" applyBorder="1" applyAlignment="1" applyProtection="1">
      <alignment horizontal="center"/>
      <protection locked="0"/>
    </xf>
    <xf numFmtId="165" fontId="0" fillId="0" borderId="30" xfId="2" applyFont="1" applyFill="1" applyBorder="1" applyAlignment="1" applyProtection="1">
      <alignment horizontal="center"/>
    </xf>
    <xf numFmtId="165" fontId="0" fillId="0" borderId="28" xfId="2" applyFont="1" applyFill="1" applyBorder="1" applyAlignment="1" applyProtection="1">
      <alignment horizontal="center"/>
      <protection locked="0"/>
    </xf>
    <xf numFmtId="0" fontId="14" fillId="0" borderId="20" xfId="0" applyFont="1" applyFill="1" applyBorder="1" applyAlignment="1">
      <alignment horizontal="left"/>
    </xf>
    <xf numFmtId="0" fontId="14" fillId="0" borderId="31" xfId="0" applyFont="1" applyFill="1" applyBorder="1" applyAlignment="1">
      <alignment horizontal="left"/>
    </xf>
    <xf numFmtId="0" fontId="14" fillId="0" borderId="26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33" xfId="0" applyFont="1" applyFill="1" applyBorder="1"/>
    <xf numFmtId="165" fontId="0" fillId="0" borderId="34" xfId="2" applyFont="1" applyFill="1" applyBorder="1" applyAlignment="1" applyProtection="1">
      <alignment horizontal="center"/>
    </xf>
    <xf numFmtId="0" fontId="0" fillId="0" borderId="35" xfId="0" applyFont="1" applyFill="1" applyBorder="1"/>
    <xf numFmtId="165" fontId="0" fillId="0" borderId="36" xfId="2" applyFont="1" applyFill="1" applyBorder="1" applyAlignment="1" applyProtection="1">
      <alignment horizontal="center"/>
      <protection locked="0"/>
    </xf>
    <xf numFmtId="0" fontId="13" fillId="0" borderId="35" xfId="0" applyFont="1" applyFill="1" applyBorder="1"/>
    <xf numFmtId="165" fontId="0" fillId="0" borderId="36" xfId="2" applyFont="1" applyFill="1" applyBorder="1" applyAlignment="1" applyProtection="1">
      <alignment horizontal="center"/>
    </xf>
    <xf numFmtId="0" fontId="13" fillId="0" borderId="35" xfId="0" applyFont="1" applyFill="1" applyBorder="1" applyAlignment="1">
      <alignment horizontal="left"/>
    </xf>
    <xf numFmtId="0" fontId="13" fillId="0" borderId="37" xfId="0" applyFont="1" applyFill="1" applyBorder="1"/>
    <xf numFmtId="165" fontId="0" fillId="0" borderId="38" xfId="2" applyFont="1" applyFill="1" applyBorder="1" applyAlignment="1" applyProtection="1">
      <alignment horizontal="center"/>
      <protection locked="0"/>
    </xf>
    <xf numFmtId="0" fontId="13" fillId="0" borderId="28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33" xfId="0" applyFont="1" applyFill="1" applyBorder="1" applyAlignment="1">
      <alignment horizontal="center"/>
    </xf>
    <xf numFmtId="165" fontId="0" fillId="0" borderId="34" xfId="2" applyFont="1" applyFill="1" applyBorder="1" applyAlignment="1" applyProtection="1">
      <alignment horizontal="center"/>
      <protection locked="0"/>
    </xf>
    <xf numFmtId="165" fontId="0" fillId="0" borderId="29" xfId="2" applyFont="1" applyFill="1" applyBorder="1" applyAlignment="1" applyProtection="1">
      <alignment horizontal="center"/>
      <protection locked="0"/>
    </xf>
    <xf numFmtId="0" fontId="13" fillId="0" borderId="35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5" fontId="0" fillId="0" borderId="2" xfId="2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3" applyFont="1" applyFill="1" applyBorder="1" applyAlignment="1" applyProtection="1">
      <protection locked="0"/>
    </xf>
    <xf numFmtId="0" fontId="0" fillId="0" borderId="2" xfId="0" applyBorder="1"/>
    <xf numFmtId="0" fontId="14" fillId="0" borderId="8" xfId="0" applyFont="1" applyFill="1" applyBorder="1" applyAlignment="1">
      <alignment horizontal="left"/>
    </xf>
    <xf numFmtId="0" fontId="13" fillId="0" borderId="17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center"/>
      <protection locked="0"/>
    </xf>
    <xf numFmtId="165" fontId="13" fillId="0" borderId="12" xfId="2" applyFont="1" applyFill="1" applyBorder="1" applyAlignment="1" applyProtection="1">
      <alignment horizontal="center"/>
      <protection locked="0"/>
    </xf>
    <xf numFmtId="9" fontId="13" fillId="0" borderId="12" xfId="3" applyFont="1" applyFill="1" applyBorder="1" applyAlignment="1" applyProtection="1">
      <alignment horizontal="center"/>
      <protection locked="0"/>
    </xf>
    <xf numFmtId="9" fontId="13" fillId="0" borderId="13" xfId="3" applyFont="1" applyFill="1" applyBorder="1" applyAlignment="1" applyProtection="1">
      <alignment horizontal="center"/>
      <protection locked="0"/>
    </xf>
    <xf numFmtId="1" fontId="13" fillId="0" borderId="0" xfId="0" applyNumberFormat="1" applyFont="1" applyFill="1" applyAlignment="1">
      <alignment horizontal="center"/>
    </xf>
    <xf numFmtId="0" fontId="14" fillId="0" borderId="39" xfId="0" applyFont="1" applyFill="1" applyBorder="1" applyAlignment="1">
      <alignment horizontal="left"/>
    </xf>
    <xf numFmtId="0" fontId="14" fillId="0" borderId="40" xfId="0" applyFont="1" applyFill="1" applyBorder="1" applyAlignment="1">
      <alignment horizontal="left"/>
    </xf>
    <xf numFmtId="0" fontId="14" fillId="0" borderId="41" xfId="0" applyFont="1" applyFill="1" applyBorder="1" applyAlignment="1">
      <alignment horizontal="left"/>
    </xf>
    <xf numFmtId="0" fontId="13" fillId="0" borderId="42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169" fontId="0" fillId="0" borderId="8" xfId="0" applyNumberFormat="1" applyFont="1" applyFill="1" applyBorder="1" applyProtection="1">
      <protection locked="0"/>
    </xf>
    <xf numFmtId="165" fontId="0" fillId="0" borderId="9" xfId="2" applyFont="1" applyFill="1" applyBorder="1" applyAlignment="1" applyProtection="1">
      <alignment horizontal="center"/>
      <protection locked="0"/>
    </xf>
    <xf numFmtId="165" fontId="0" fillId="0" borderId="9" xfId="2" applyFont="1" applyFill="1" applyBorder="1" applyAlignment="1" applyProtection="1">
      <protection locked="0"/>
    </xf>
    <xf numFmtId="9" fontId="0" fillId="0" borderId="9" xfId="3" applyFont="1" applyFill="1" applyBorder="1" applyAlignment="1" applyProtection="1">
      <protection locked="0"/>
    </xf>
    <xf numFmtId="165" fontId="0" fillId="0" borderId="10" xfId="2" applyFont="1" applyFill="1" applyBorder="1" applyAlignment="1" applyProtection="1">
      <alignment horizontal="center"/>
      <protection locked="0"/>
    </xf>
    <xf numFmtId="169" fontId="0" fillId="0" borderId="16" xfId="0" applyNumberFormat="1" applyFont="1" applyFill="1" applyBorder="1" applyProtection="1">
      <protection locked="0"/>
    </xf>
    <xf numFmtId="169" fontId="0" fillId="0" borderId="11" xfId="0" applyNumberFormat="1" applyFont="1" applyFill="1" applyBorder="1" applyProtection="1">
      <protection locked="0"/>
    </xf>
    <xf numFmtId="9" fontId="0" fillId="0" borderId="12" xfId="3" applyFont="1" applyFill="1" applyBorder="1" applyAlignment="1" applyProtection="1">
      <protection locked="0"/>
    </xf>
    <xf numFmtId="0" fontId="13" fillId="0" borderId="0" xfId="0" applyFont="1" applyFill="1" applyBorder="1" applyAlignment="1">
      <alignment horizontal="right"/>
    </xf>
    <xf numFmtId="165" fontId="13" fillId="0" borderId="0" xfId="2" applyFont="1" applyFill="1" applyBorder="1" applyAlignment="1" applyProtection="1">
      <alignment horizontal="center"/>
    </xf>
    <xf numFmtId="165" fontId="13" fillId="0" borderId="2" xfId="2" applyFont="1" applyFill="1" applyBorder="1" applyAlignment="1" applyProtection="1">
      <alignment horizontal="center"/>
      <protection locked="0"/>
    </xf>
    <xf numFmtId="165" fontId="13" fillId="0" borderId="0" xfId="2" applyFont="1" applyFill="1" applyBorder="1" applyAlignment="1" applyProtection="1"/>
    <xf numFmtId="9" fontId="0" fillId="0" borderId="0" xfId="3" applyFont="1" applyFill="1" applyBorder="1" applyAlignment="1" applyProtection="1"/>
    <xf numFmtId="169" fontId="0" fillId="0" borderId="16" xfId="0" applyNumberFormat="1" applyFont="1" applyFill="1" applyBorder="1" applyAlignment="1" applyProtection="1">
      <alignment horizontal="left"/>
      <protection locked="0"/>
    </xf>
    <xf numFmtId="165" fontId="13" fillId="0" borderId="12" xfId="2" applyFont="1" applyFill="1" applyBorder="1" applyAlignment="1" applyProtection="1"/>
    <xf numFmtId="9" fontId="13" fillId="0" borderId="12" xfId="3" applyFont="1" applyFill="1" applyBorder="1" applyAlignment="1" applyProtection="1"/>
    <xf numFmtId="165" fontId="13" fillId="0" borderId="13" xfId="2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4" fillId="0" borderId="20" xfId="0" applyFont="1" applyFill="1" applyBorder="1" applyAlignment="1" applyProtection="1">
      <alignment horizontal="left"/>
    </xf>
    <xf numFmtId="0" fontId="14" fillId="0" borderId="21" xfId="0" applyFont="1" applyFill="1" applyBorder="1" applyAlignment="1" applyProtection="1">
      <alignment horizontal="center"/>
    </xf>
    <xf numFmtId="0" fontId="14" fillId="0" borderId="22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3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3" fillId="0" borderId="27" xfId="0" applyFont="1" applyFill="1" applyBorder="1" applyProtection="1"/>
    <xf numFmtId="0" fontId="13" fillId="0" borderId="0" xfId="0" applyFont="1" applyFill="1" applyAlignment="1" applyProtection="1">
      <alignment horizontal="center"/>
    </xf>
    <xf numFmtId="0" fontId="0" fillId="0" borderId="48" xfId="0" applyFill="1" applyBorder="1" applyProtection="1"/>
    <xf numFmtId="165" fontId="13" fillId="0" borderId="18" xfId="2" applyFont="1" applyFill="1" applyBorder="1" applyAlignment="1" applyProtection="1">
      <alignment horizontal="center"/>
    </xf>
    <xf numFmtId="0" fontId="13" fillId="0" borderId="16" xfId="0" applyFont="1" applyFill="1" applyBorder="1" applyProtection="1"/>
    <xf numFmtId="0" fontId="13" fillId="0" borderId="16" xfId="0" applyFont="1" applyFill="1" applyBorder="1" applyAlignment="1" applyProtection="1">
      <alignment horizontal="left"/>
    </xf>
    <xf numFmtId="0" fontId="13" fillId="0" borderId="11" xfId="0" applyFont="1" applyFill="1" applyBorder="1" applyProtection="1"/>
    <xf numFmtId="0" fontId="14" fillId="0" borderId="0" xfId="0" applyFont="1" applyFill="1" applyProtection="1"/>
    <xf numFmtId="0" fontId="14" fillId="0" borderId="31" xfId="0" applyFont="1" applyFill="1" applyBorder="1" applyAlignment="1" applyProtection="1">
      <alignment horizontal="left"/>
    </xf>
    <xf numFmtId="0" fontId="14" fillId="0" borderId="26" xfId="0" applyFont="1" applyFill="1" applyBorder="1" applyAlignment="1" applyProtection="1">
      <alignment horizontal="center"/>
    </xf>
    <xf numFmtId="0" fontId="14" fillId="0" borderId="32" xfId="0" applyFont="1" applyFill="1" applyBorder="1" applyAlignment="1" applyProtection="1">
      <alignment horizontal="center"/>
    </xf>
    <xf numFmtId="0" fontId="13" fillId="0" borderId="23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 wrapText="1"/>
    </xf>
    <xf numFmtId="0" fontId="13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3" fillId="0" borderId="35" xfId="0" applyFont="1" applyFill="1" applyBorder="1" applyProtection="1"/>
    <xf numFmtId="0" fontId="13" fillId="0" borderId="35" xfId="0" applyFont="1" applyFill="1" applyBorder="1" applyAlignment="1" applyProtection="1">
      <alignment horizontal="left"/>
    </xf>
    <xf numFmtId="0" fontId="13" fillId="0" borderId="37" xfId="0" applyFont="1" applyFill="1" applyBorder="1" applyProtection="1"/>
    <xf numFmtId="0" fontId="0" fillId="0" borderId="0" xfId="0" applyProtection="1"/>
    <xf numFmtId="0" fontId="14" fillId="0" borderId="8" xfId="0" applyFont="1" applyFill="1" applyBorder="1" applyAlignment="1" applyProtection="1">
      <alignment horizontal="left"/>
    </xf>
    <xf numFmtId="0" fontId="14" fillId="0" borderId="9" xfId="0" applyFont="1" applyFill="1" applyBorder="1" applyAlignment="1" applyProtection="1">
      <alignment horizontal="center"/>
    </xf>
    <xf numFmtId="0" fontId="14" fillId="0" borderId="49" xfId="0" applyFont="1" applyFill="1" applyBorder="1" applyAlignment="1" applyProtection="1">
      <alignment horizontal="center"/>
    </xf>
    <xf numFmtId="0" fontId="14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3" fillId="0" borderId="17" xfId="0" applyFont="1" applyFill="1" applyBorder="1" applyAlignment="1" applyProtection="1">
      <alignment horizontal="center"/>
    </xf>
    <xf numFmtId="0" fontId="13" fillId="0" borderId="30" xfId="0" applyFont="1" applyFill="1" applyBorder="1" applyAlignment="1" applyProtection="1">
      <alignment horizontal="center"/>
    </xf>
    <xf numFmtId="0" fontId="13" fillId="0" borderId="19" xfId="0" applyFont="1" applyFill="1" applyBorder="1" applyAlignment="1" applyProtection="1">
      <alignment horizontal="center"/>
    </xf>
    <xf numFmtId="168" fontId="0" fillId="0" borderId="30" xfId="1" applyFont="1" applyFill="1" applyBorder="1" applyAlignment="1" applyProtection="1">
      <alignment horizontal="center"/>
      <protection locked="0"/>
    </xf>
    <xf numFmtId="168" fontId="0" fillId="0" borderId="17" xfId="1" applyFont="1" applyFill="1" applyBorder="1" applyAlignment="1" applyProtection="1">
      <protection locked="0"/>
    </xf>
    <xf numFmtId="168" fontId="0" fillId="0" borderId="30" xfId="1" applyFont="1" applyFill="1" applyBorder="1" applyAlignment="1" applyProtection="1">
      <protection locked="0"/>
    </xf>
    <xf numFmtId="168" fontId="0" fillId="0" borderId="19" xfId="1" applyFont="1" applyFill="1" applyBorder="1" applyAlignment="1" applyProtection="1">
      <protection locked="0"/>
    </xf>
    <xf numFmtId="165" fontId="13" fillId="0" borderId="30" xfId="2" applyFont="1" applyFill="1" applyBorder="1" applyAlignment="1" applyProtection="1">
      <alignment horizontal="center"/>
      <protection locked="0"/>
    </xf>
    <xf numFmtId="165" fontId="0" fillId="0" borderId="28" xfId="2" applyFont="1" applyFill="1" applyBorder="1" applyAlignment="1" applyProtection="1">
      <protection locked="0"/>
    </xf>
    <xf numFmtId="0" fontId="0" fillId="0" borderId="23" xfId="0" applyFill="1" applyBorder="1" applyProtection="1"/>
    <xf numFmtId="0" fontId="13" fillId="0" borderId="24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/>
    </xf>
    <xf numFmtId="0" fontId="13" fillId="0" borderId="8" xfId="0" applyFont="1" applyFill="1" applyBorder="1" applyProtection="1"/>
    <xf numFmtId="168" fontId="0" fillId="0" borderId="9" xfId="1" applyFont="1" applyFill="1" applyBorder="1" applyAlignment="1" applyProtection="1">
      <alignment horizontal="center"/>
      <protection locked="0"/>
    </xf>
    <xf numFmtId="168" fontId="0" fillId="0" borderId="10" xfId="1" applyFont="1" applyFill="1" applyBorder="1" applyAlignment="1" applyProtection="1">
      <alignment horizontal="center"/>
      <protection locked="0"/>
    </xf>
    <xf numFmtId="168" fontId="0" fillId="0" borderId="17" xfId="1" applyFont="1" applyFill="1" applyBorder="1" applyAlignment="1" applyProtection="1">
      <alignment horizontal="center"/>
    </xf>
    <xf numFmtId="168" fontId="0" fillId="0" borderId="19" xfId="1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 wrapText="1"/>
    </xf>
    <xf numFmtId="0" fontId="13" fillId="0" borderId="13" xfId="0" applyFont="1" applyFill="1" applyBorder="1" applyAlignment="1" applyProtection="1">
      <alignment horizontal="center" wrapText="1"/>
    </xf>
    <xf numFmtId="0" fontId="13" fillId="0" borderId="33" xfId="0" applyFont="1" applyFill="1" applyBorder="1" applyAlignment="1" applyProtection="1">
      <alignment horizontal="center"/>
    </xf>
    <xf numFmtId="0" fontId="13" fillId="0" borderId="35" xfId="0" applyFont="1" applyFill="1" applyBorder="1" applyAlignment="1" applyProtection="1">
      <alignment horizontal="center"/>
    </xf>
    <xf numFmtId="0" fontId="13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0" fontId="15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165" fontId="0" fillId="10" borderId="17" xfId="2" applyFont="1" applyFill="1" applyBorder="1" applyAlignment="1" applyProtection="1">
      <protection locked="0"/>
    </xf>
    <xf numFmtId="0" fontId="0" fillId="10" borderId="0" xfId="0" applyFill="1"/>
    <xf numFmtId="0" fontId="0" fillId="10" borderId="15" xfId="0" applyFill="1" applyBorder="1"/>
    <xf numFmtId="0" fontId="0" fillId="10" borderId="17" xfId="0" applyFill="1" applyBorder="1"/>
    <xf numFmtId="165" fontId="0" fillId="10" borderId="17" xfId="2" applyFont="1" applyFill="1" applyBorder="1" applyAlignment="1" applyProtection="1"/>
    <xf numFmtId="0" fontId="0" fillId="10" borderId="16" xfId="0" applyFont="1" applyFill="1" applyBorder="1"/>
    <xf numFmtId="0" fontId="0" fillId="10" borderId="14" xfId="0" applyFill="1" applyBorder="1"/>
    <xf numFmtId="165" fontId="0" fillId="0" borderId="0" xfId="0" applyNumberFormat="1" applyFill="1"/>
    <xf numFmtId="43" fontId="0" fillId="0" borderId="0" xfId="0" applyNumberFormat="1" applyFill="1"/>
    <xf numFmtId="44" fontId="0" fillId="0" borderId="0" xfId="0" applyNumberFormat="1" applyFill="1"/>
    <xf numFmtId="9" fontId="0" fillId="0" borderId="0" xfId="0" applyNumberFormat="1" applyFill="1"/>
    <xf numFmtId="165" fontId="16" fillId="11" borderId="17" xfId="2" applyFont="1" applyFill="1" applyBorder="1" applyAlignment="1" applyProtection="1">
      <alignment horizontal="center"/>
      <protection locked="0"/>
    </xf>
    <xf numFmtId="165" fontId="16" fillId="11" borderId="19" xfId="2" applyFont="1" applyFill="1" applyBorder="1" applyAlignment="1" applyProtection="1">
      <protection locked="0"/>
    </xf>
    <xf numFmtId="0" fontId="0" fillId="0" borderId="0" xfId="0" applyFill="1" applyAlignment="1">
      <alignment horizontal="left"/>
    </xf>
    <xf numFmtId="9" fontId="0" fillId="0" borderId="0" xfId="0" applyNumberFormat="1" applyFill="1" applyAlignment="1">
      <alignment horizontal="center" vertical="center"/>
    </xf>
    <xf numFmtId="0" fontId="0" fillId="0" borderId="0" xfId="0" applyFill="1" applyBorder="1"/>
    <xf numFmtId="2" fontId="0" fillId="0" borderId="0" xfId="0" applyNumberFormat="1" applyFill="1" applyAlignment="1">
      <alignment horizontal="center"/>
    </xf>
    <xf numFmtId="170" fontId="0" fillId="0" borderId="17" xfId="0" applyNumberFormat="1" applyFill="1" applyBorder="1" applyAlignment="1" applyProtection="1">
      <alignment horizontal="center"/>
      <protection locked="0"/>
    </xf>
    <xf numFmtId="10" fontId="0" fillId="0" borderId="12" xfId="2" applyNumberFormat="1" applyFont="1" applyFill="1" applyBorder="1" applyAlignment="1" applyProtection="1">
      <alignment horizontal="center"/>
      <protection locked="0"/>
    </xf>
    <xf numFmtId="10" fontId="16" fillId="0" borderId="24" xfId="3" applyNumberFormat="1" applyFill="1" applyBorder="1" applyAlignment="1" applyProtection="1">
      <alignment horizontal="center"/>
      <protection locked="0"/>
    </xf>
    <xf numFmtId="9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center" vertical="center"/>
    </xf>
    <xf numFmtId="165" fontId="0" fillId="11" borderId="17" xfId="2" applyFont="1" applyFill="1" applyBorder="1" applyAlignment="1" applyProtection="1">
      <protection locked="0"/>
    </xf>
    <xf numFmtId="165" fontId="0" fillId="11" borderId="19" xfId="2" applyFont="1" applyFill="1" applyBorder="1" applyAlignment="1" applyProtection="1">
      <protection locked="0"/>
    </xf>
    <xf numFmtId="165" fontId="0" fillId="11" borderId="17" xfId="2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/>
    </xf>
    <xf numFmtId="165" fontId="0" fillId="0" borderId="17" xfId="2" applyFont="1" applyFill="1" applyBorder="1" applyAlignment="1" applyProtection="1">
      <alignment horizontal="left"/>
      <protection locked="0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2" fontId="0" fillId="0" borderId="0" xfId="0" applyNumberFormat="1" applyFill="1" applyBorder="1"/>
    <xf numFmtId="2" fontId="0" fillId="0" borderId="54" xfId="0" applyNumberFormat="1" applyFill="1" applyBorder="1"/>
    <xf numFmtId="0" fontId="0" fillId="0" borderId="55" xfId="0" applyFill="1" applyBorder="1" applyAlignment="1">
      <alignment horizontal="left"/>
    </xf>
    <xf numFmtId="0" fontId="0" fillId="0" borderId="56" xfId="0" applyFill="1" applyBorder="1" applyAlignment="1">
      <alignment horizontal="left"/>
    </xf>
    <xf numFmtId="2" fontId="0" fillId="0" borderId="56" xfId="0" applyNumberFormat="1" applyFill="1" applyBorder="1"/>
    <xf numFmtId="2" fontId="0" fillId="0" borderId="57" xfId="0" applyNumberFormat="1" applyFill="1" applyBorder="1"/>
    <xf numFmtId="0" fontId="0" fillId="0" borderId="50" xfId="0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0" fillId="0" borderId="53" xfId="0" applyFill="1" applyBorder="1"/>
    <xf numFmtId="0" fontId="0" fillId="0" borderId="54" xfId="0" applyFill="1" applyBorder="1"/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10" fontId="0" fillId="0" borderId="0" xfId="0" applyNumberFormat="1" applyFill="1" applyBorder="1"/>
    <xf numFmtId="9" fontId="0" fillId="0" borderId="0" xfId="0" applyNumberFormat="1" applyFill="1" applyBorder="1"/>
    <xf numFmtId="0" fontId="0" fillId="0" borderId="5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56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56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54" xfId="0" applyNumberFormat="1" applyFill="1" applyBorder="1" applyAlignment="1">
      <alignment horizontal="center" vertical="center"/>
    </xf>
    <xf numFmtId="2" fontId="0" fillId="0" borderId="57" xfId="0" applyNumberFormat="1" applyFill="1" applyBorder="1" applyAlignment="1">
      <alignment horizontal="center" vertical="center"/>
    </xf>
    <xf numFmtId="9" fontId="0" fillId="0" borderId="52" xfId="0" applyNumberFormat="1" applyFill="1" applyBorder="1"/>
    <xf numFmtId="9" fontId="0" fillId="0" borderId="54" xfId="0" applyNumberFormat="1" applyFill="1" applyBorder="1"/>
    <xf numFmtId="10" fontId="0" fillId="0" borderId="54" xfId="0" applyNumberFormat="1" applyFill="1" applyBorder="1"/>
    <xf numFmtId="9" fontId="0" fillId="0" borderId="57" xfId="0" applyNumberFormat="1" applyFill="1" applyBorder="1"/>
    <xf numFmtId="0" fontId="0" fillId="0" borderId="58" xfId="0" applyFill="1" applyBorder="1"/>
    <xf numFmtId="10" fontId="0" fillId="0" borderId="57" xfId="0" applyNumberFormat="1" applyFill="1" applyBorder="1"/>
    <xf numFmtId="2" fontId="0" fillId="0" borderId="52" xfId="0" applyNumberFormat="1" applyFill="1" applyBorder="1"/>
    <xf numFmtId="10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/>
    </xf>
    <xf numFmtId="43" fontId="13" fillId="0" borderId="17" xfId="2" applyNumberFormat="1" applyFont="1" applyFill="1" applyBorder="1" applyAlignment="1" applyProtection="1">
      <alignment horizontal="center"/>
      <protection locked="0"/>
    </xf>
    <xf numFmtId="43" fontId="13" fillId="0" borderId="19" xfId="2" applyNumberFormat="1" applyFont="1" applyFill="1" applyBorder="1" applyAlignment="1" applyProtection="1">
      <alignment horizontal="center"/>
      <protection locked="0"/>
    </xf>
    <xf numFmtId="171" fontId="0" fillId="0" borderId="17" xfId="3" applyNumberFormat="1" applyFont="1" applyFill="1" applyBorder="1" applyAlignment="1" applyProtection="1">
      <protection locked="0"/>
    </xf>
    <xf numFmtId="165" fontId="0" fillId="0" borderId="17" xfId="3" applyNumberFormat="1" applyFont="1" applyFill="1" applyBorder="1" applyAlignment="1" applyProtection="1">
      <protection locked="0"/>
    </xf>
    <xf numFmtId="170" fontId="0" fillId="0" borderId="17" xfId="3" applyNumberFormat="1" applyFont="1" applyFill="1" applyBorder="1" applyAlignment="1" applyProtection="1">
      <protection locked="0"/>
    </xf>
    <xf numFmtId="170" fontId="0" fillId="0" borderId="19" xfId="3" applyNumberFormat="1" applyFont="1" applyFill="1" applyBorder="1" applyAlignment="1" applyProtection="1">
      <protection locked="0"/>
    </xf>
    <xf numFmtId="165" fontId="16" fillId="0" borderId="17" xfId="2" applyFill="1" applyBorder="1" applyAlignment="1" applyProtection="1">
      <protection locked="0"/>
    </xf>
    <xf numFmtId="165" fontId="16" fillId="0" borderId="24" xfId="2" applyFill="1" applyBorder="1" applyAlignment="1" applyProtection="1">
      <alignment horizontal="center"/>
      <protection locked="0"/>
    </xf>
    <xf numFmtId="165" fontId="16" fillId="0" borderId="17" xfId="2" applyFill="1" applyBorder="1" applyAlignment="1" applyProtection="1">
      <alignment horizontal="center"/>
      <protection locked="0"/>
    </xf>
    <xf numFmtId="165" fontId="16" fillId="0" borderId="0" xfId="2" applyFill="1"/>
    <xf numFmtId="165" fontId="0" fillId="0" borderId="0" xfId="2" applyFont="1" applyFill="1"/>
    <xf numFmtId="43" fontId="0" fillId="0" borderId="2" xfId="0" applyNumberFormat="1" applyFill="1" applyBorder="1" applyProtection="1">
      <protection locked="0"/>
    </xf>
    <xf numFmtId="0" fontId="0" fillId="0" borderId="0" xfId="0" applyFill="1" applyAlignment="1">
      <alignment horizontal="right"/>
    </xf>
    <xf numFmtId="9" fontId="16" fillId="0" borderId="0" xfId="3" applyFill="1"/>
    <xf numFmtId="10" fontId="0" fillId="0" borderId="2" xfId="3" applyNumberFormat="1" applyFont="1" applyFill="1" applyBorder="1" applyAlignment="1" applyProtection="1">
      <protection locked="0"/>
    </xf>
    <xf numFmtId="10" fontId="0" fillId="0" borderId="17" xfId="3" applyNumberFormat="1" applyFont="1" applyFill="1" applyBorder="1" applyAlignment="1" applyProtection="1">
      <alignment horizontal="center"/>
      <protection locked="0"/>
    </xf>
    <xf numFmtId="10" fontId="16" fillId="0" borderId="17" xfId="3" applyNumberFormat="1" applyFill="1" applyBorder="1" applyAlignment="1" applyProtection="1">
      <alignment horizontal="center"/>
      <protection locked="0"/>
    </xf>
    <xf numFmtId="10" fontId="0" fillId="0" borderId="12" xfId="3" applyNumberFormat="1" applyFont="1" applyFill="1" applyBorder="1" applyAlignment="1" applyProtection="1">
      <alignment horizontal="center"/>
      <protection locked="0"/>
    </xf>
    <xf numFmtId="10" fontId="0" fillId="0" borderId="24" xfId="3" applyNumberFormat="1" applyFont="1" applyFill="1" applyBorder="1" applyAlignment="1" applyProtection="1">
      <alignment horizontal="center"/>
      <protection locked="0"/>
    </xf>
    <xf numFmtId="0" fontId="0" fillId="9" borderId="2" xfId="0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9" fontId="0" fillId="0" borderId="56" xfId="0" applyNumberFormat="1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0" fillId="0" borderId="55" xfId="0" applyFill="1" applyBorder="1" applyAlignment="1">
      <alignment horizontal="left"/>
    </xf>
    <xf numFmtId="0" fontId="0" fillId="0" borderId="56" xfId="0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left"/>
    </xf>
    <xf numFmtId="0" fontId="0" fillId="0" borderId="51" xfId="0" applyFill="1" applyBorder="1" applyAlignment="1">
      <alignment horizontal="left"/>
    </xf>
    <xf numFmtId="0" fontId="13" fillId="0" borderId="1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</cellXfs>
  <cellStyles count="20">
    <cellStyle name="Accent" xfId="16"/>
    <cellStyle name="Accent 1" xfId="17"/>
    <cellStyle name="Accent 2" xfId="18"/>
    <cellStyle name="Accent 3" xfId="19"/>
    <cellStyle name="Bad" xfId="13" builtinId="27" customBuiltin="1"/>
    <cellStyle name="Comma" xfId="1" builtinId="3"/>
    <cellStyle name="Currency" xfId="2" builtinId="4"/>
    <cellStyle name="Error" xfId="15"/>
    <cellStyle name="Footnote" xfId="9"/>
    <cellStyle name="Good" xfId="11" builtinId="26" customBuiltin="1"/>
    <cellStyle name="Heading" xfId="4"/>
    <cellStyle name="Heading 1" xfId="5" builtinId="16" customBuiltin="1"/>
    <cellStyle name="Heading 2" xfId="6" builtinId="17" customBuiltin="1"/>
    <cellStyle name="Neutral" xfId="12" builtinId="28" customBuiltin="1"/>
    <cellStyle name="Normal" xfId="0" builtinId="0"/>
    <cellStyle name="Note" xfId="8" builtinId="10" customBuiltin="1"/>
    <cellStyle name="Percent" xfId="3" builtinId="5"/>
    <cellStyle name="Status" xfId="10"/>
    <cellStyle name="Text" xfId="7"/>
    <cellStyle name="Warning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70"/>
  <sheetViews>
    <sheetView workbookViewId="0">
      <selection activeCell="A46" sqref="A46"/>
    </sheetView>
  </sheetViews>
  <sheetFormatPr defaultColWidth="11" defaultRowHeight="12.75" x14ac:dyDescent="0.2"/>
  <cols>
    <col min="1" max="1" width="42.28515625" customWidth="1"/>
    <col min="2" max="3" width="11" customWidth="1"/>
    <col min="4" max="4" width="17.42578125" customWidth="1"/>
  </cols>
  <sheetData>
    <row r="1" spans="1:7" x14ac:dyDescent="0.2">
      <c r="A1" s="1" t="s">
        <v>0</v>
      </c>
      <c r="E1" s="2">
        <v>1</v>
      </c>
    </row>
    <row r="3" spans="1:7" x14ac:dyDescent="0.2">
      <c r="A3" s="3" t="s">
        <v>1</v>
      </c>
      <c r="B3" s="4">
        <v>0.21</v>
      </c>
    </row>
    <row r="4" spans="1:7" x14ac:dyDescent="0.2">
      <c r="A4" s="3" t="s">
        <v>2</v>
      </c>
      <c r="B4" s="4">
        <v>0.35</v>
      </c>
    </row>
    <row r="5" spans="1:7" x14ac:dyDescent="0.2">
      <c r="A5" s="3" t="s">
        <v>3</v>
      </c>
      <c r="B5" s="4">
        <v>0.09</v>
      </c>
      <c r="C5" t="s">
        <v>4</v>
      </c>
      <c r="G5" s="5"/>
    </row>
    <row r="7" spans="1:7" x14ac:dyDescent="0.2">
      <c r="A7" s="3" t="s">
        <v>5</v>
      </c>
      <c r="B7" t="s">
        <v>6</v>
      </c>
    </row>
    <row r="8" spans="1:7" x14ac:dyDescent="0.2">
      <c r="A8" s="6" t="s">
        <v>7</v>
      </c>
      <c r="B8" s="7">
        <v>30</v>
      </c>
      <c r="C8" t="s">
        <v>8</v>
      </c>
    </row>
    <row r="9" spans="1:7" x14ac:dyDescent="0.2">
      <c r="A9" s="6" t="s">
        <v>9</v>
      </c>
      <c r="B9" s="7">
        <v>10</v>
      </c>
      <c r="C9" t="s">
        <v>8</v>
      </c>
    </row>
    <row r="10" spans="1:7" x14ac:dyDescent="0.2">
      <c r="A10" s="6" t="s">
        <v>10</v>
      </c>
      <c r="B10" s="7">
        <v>10</v>
      </c>
      <c r="C10" t="s">
        <v>8</v>
      </c>
    </row>
    <row r="11" spans="1:7" x14ac:dyDescent="0.2">
      <c r="A11" s="6" t="s">
        <v>11</v>
      </c>
      <c r="B11" s="7">
        <v>5</v>
      </c>
      <c r="C11" t="s">
        <v>8</v>
      </c>
    </row>
    <row r="12" spans="1:7" x14ac:dyDescent="0.2">
      <c r="A12" s="6" t="s">
        <v>12</v>
      </c>
      <c r="B12" s="7">
        <v>5</v>
      </c>
      <c r="C12" t="s">
        <v>8</v>
      </c>
    </row>
    <row r="13" spans="1:7" x14ac:dyDescent="0.2">
      <c r="A13" s="6" t="s">
        <v>13</v>
      </c>
      <c r="B13" s="7">
        <v>3</v>
      </c>
      <c r="C13" t="s">
        <v>8</v>
      </c>
    </row>
    <row r="14" spans="1:7" x14ac:dyDescent="0.2">
      <c r="A14" s="6" t="s">
        <v>14</v>
      </c>
      <c r="B14" s="7">
        <v>5</v>
      </c>
      <c r="C14" t="s">
        <v>8</v>
      </c>
    </row>
    <row r="15" spans="1:7" x14ac:dyDescent="0.2">
      <c r="A15" s="6" t="s">
        <v>15</v>
      </c>
      <c r="B15" s="8">
        <v>7.4999999999999997E-2</v>
      </c>
    </row>
    <row r="17" spans="1:7" x14ac:dyDescent="0.2">
      <c r="A17" s="3" t="s">
        <v>16</v>
      </c>
      <c r="B17" s="9" t="s">
        <v>383</v>
      </c>
      <c r="C17" s="10"/>
      <c r="D17" s="10"/>
      <c r="E17" s="10"/>
      <c r="F17" s="10"/>
      <c r="G17" s="11"/>
    </row>
    <row r="19" spans="1:7" x14ac:dyDescent="0.2">
      <c r="A19" s="3" t="s">
        <v>17</v>
      </c>
      <c r="B19" s="12">
        <v>10513800</v>
      </c>
      <c r="C19" t="s">
        <v>18</v>
      </c>
    </row>
    <row r="20" spans="1:7" x14ac:dyDescent="0.2">
      <c r="A20" s="3" t="s">
        <v>19</v>
      </c>
      <c r="B20" s="12">
        <v>13</v>
      </c>
      <c r="C20" t="s">
        <v>20</v>
      </c>
    </row>
    <row r="22" spans="1:7" x14ac:dyDescent="0.2">
      <c r="A22" s="3" t="s">
        <v>21</v>
      </c>
    </row>
    <row r="23" spans="1:7" x14ac:dyDescent="0.2">
      <c r="A23" s="3" t="s">
        <v>22</v>
      </c>
      <c r="B23" s="12">
        <v>37</v>
      </c>
      <c r="C23" t="s">
        <v>23</v>
      </c>
    </row>
    <row r="24" spans="1:7" x14ac:dyDescent="0.2">
      <c r="A24" s="3" t="s">
        <v>24</v>
      </c>
      <c r="B24" s="12">
        <v>9</v>
      </c>
      <c r="C24" t="s">
        <v>23</v>
      </c>
    </row>
    <row r="25" spans="1:7" x14ac:dyDescent="0.2">
      <c r="A25" s="3" t="s">
        <v>25</v>
      </c>
      <c r="B25" s="12">
        <v>8</v>
      </c>
      <c r="C25" t="s">
        <v>23</v>
      </c>
    </row>
    <row r="27" spans="1:7" x14ac:dyDescent="0.2">
      <c r="A27" s="3" t="s">
        <v>26</v>
      </c>
      <c r="B27" s="12">
        <v>1600</v>
      </c>
      <c r="C27" t="s">
        <v>27</v>
      </c>
      <c r="D27" t="s">
        <v>384</v>
      </c>
    </row>
    <row r="28" spans="1:7" x14ac:dyDescent="0.2">
      <c r="A28" s="3" t="s">
        <v>28</v>
      </c>
      <c r="B28" s="12">
        <v>11</v>
      </c>
      <c r="C28" t="s">
        <v>29</v>
      </c>
    </row>
    <row r="29" spans="1:7" x14ac:dyDescent="0.2">
      <c r="A29" s="3" t="s">
        <v>30</v>
      </c>
      <c r="B29" s="12">
        <v>4</v>
      </c>
      <c r="C29" t="s">
        <v>29</v>
      </c>
    </row>
    <row r="32" spans="1:7" x14ac:dyDescent="0.2">
      <c r="A32" s="3" t="s">
        <v>31</v>
      </c>
      <c r="B32" s="12">
        <v>17.399999999999999</v>
      </c>
      <c r="C32" t="s">
        <v>32</v>
      </c>
      <c r="D32" s="12">
        <v>1</v>
      </c>
      <c r="E32" t="s">
        <v>33</v>
      </c>
    </row>
    <row r="33" spans="1:7" x14ac:dyDescent="0.2">
      <c r="A33" s="13"/>
    </row>
    <row r="34" spans="1:7" x14ac:dyDescent="0.2">
      <c r="A34" s="13"/>
    </row>
    <row r="35" spans="1:7" x14ac:dyDescent="0.2">
      <c r="A35" s="3" t="s">
        <v>34</v>
      </c>
      <c r="B35" s="14">
        <v>0.53</v>
      </c>
      <c r="C35" t="s">
        <v>35</v>
      </c>
      <c r="G35" s="5" t="s">
        <v>36</v>
      </c>
    </row>
    <row r="36" spans="1:7" x14ac:dyDescent="0.2">
      <c r="A36" s="3" t="s">
        <v>37</v>
      </c>
      <c r="B36" s="339"/>
      <c r="C36" s="339"/>
      <c r="D36" s="339"/>
    </row>
    <row r="37" spans="1:7" x14ac:dyDescent="0.2">
      <c r="A37" s="3" t="s">
        <v>38</v>
      </c>
      <c r="B37" s="15"/>
    </row>
    <row r="38" spans="1:7" x14ac:dyDescent="0.2">
      <c r="A38" s="3"/>
    </row>
    <row r="39" spans="1:7" x14ac:dyDescent="0.2">
      <c r="A39" s="3" t="s">
        <v>39</v>
      </c>
      <c r="B39" s="12"/>
    </row>
    <row r="40" spans="1:7" x14ac:dyDescent="0.2">
      <c r="A40" s="3" t="s">
        <v>40</v>
      </c>
      <c r="B40" s="12"/>
    </row>
    <row r="41" spans="1:7" x14ac:dyDescent="0.2">
      <c r="A41" s="3" t="s">
        <v>41</v>
      </c>
      <c r="B41" s="12"/>
      <c r="C41" t="s">
        <v>35</v>
      </c>
    </row>
    <row r="1570" spans="7:7" x14ac:dyDescent="0.2">
      <c r="G1570" s="5" t="s">
        <v>42</v>
      </c>
    </row>
  </sheetData>
  <sheetProtection selectLockedCells="1" selectUnlockedCells="1"/>
  <mergeCells count="1">
    <mergeCell ref="B36:D36"/>
  </mergeCell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workbookViewId="0">
      <selection activeCell="D1" sqref="D1"/>
    </sheetView>
  </sheetViews>
  <sheetFormatPr defaultColWidth="11.42578125" defaultRowHeight="12.75" x14ac:dyDescent="0.2"/>
  <cols>
    <col min="1" max="1" width="54.42578125" style="175" customWidth="1"/>
    <col min="2" max="4" width="14" style="175" customWidth="1"/>
    <col min="5" max="250" width="11.42578125" style="175" customWidth="1"/>
  </cols>
  <sheetData>
    <row r="1" spans="1:5" x14ac:dyDescent="0.2">
      <c r="A1" s="1" t="s">
        <v>0</v>
      </c>
      <c r="B1"/>
      <c r="C1"/>
      <c r="D1">
        <f>InfoInicial!E1</f>
        <v>1</v>
      </c>
      <c r="E1" s="2"/>
    </row>
    <row r="2" spans="1:5" ht="15.75" x14ac:dyDescent="0.25">
      <c r="A2" s="176" t="s">
        <v>281</v>
      </c>
      <c r="B2" s="177"/>
      <c r="C2" s="177"/>
      <c r="D2" s="178"/>
    </row>
    <row r="3" spans="1:5" x14ac:dyDescent="0.2">
      <c r="A3" s="179" t="s">
        <v>88</v>
      </c>
      <c r="B3" s="186" t="s">
        <v>47</v>
      </c>
      <c r="C3" s="186" t="s">
        <v>48</v>
      </c>
      <c r="D3" s="182" t="s">
        <v>192</v>
      </c>
    </row>
    <row r="4" spans="1:5" x14ac:dyDescent="0.2">
      <c r="A4" s="183" t="s">
        <v>282</v>
      </c>
      <c r="B4" s="84"/>
      <c r="C4" s="84"/>
      <c r="D4" s="85"/>
    </row>
    <row r="5" spans="1:5" x14ac:dyDescent="0.2">
      <c r="B5" s="64"/>
      <c r="C5" s="64"/>
      <c r="D5" s="65"/>
    </row>
    <row r="6" spans="1:5" x14ac:dyDescent="0.2">
      <c r="A6" s="175" t="s">
        <v>283</v>
      </c>
      <c r="B6" s="64"/>
      <c r="C6" s="64"/>
      <c r="D6" s="65"/>
    </row>
    <row r="7" spans="1:5" x14ac:dyDescent="0.2">
      <c r="A7" s="175" t="s">
        <v>284</v>
      </c>
      <c r="B7" s="64"/>
      <c r="C7" s="64"/>
      <c r="D7" s="65"/>
    </row>
    <row r="8" spans="1:5" x14ac:dyDescent="0.2">
      <c r="A8" s="183" t="s">
        <v>285</v>
      </c>
      <c r="B8" s="64"/>
      <c r="C8" s="64"/>
      <c r="D8" s="65"/>
    </row>
    <row r="9" spans="1:5" x14ac:dyDescent="0.2">
      <c r="A9" s="184" t="s">
        <v>286</v>
      </c>
      <c r="B9" s="64"/>
      <c r="C9" s="64"/>
      <c r="D9" s="65"/>
    </row>
    <row r="10" spans="1:5" x14ac:dyDescent="0.2">
      <c r="A10" s="183" t="s">
        <v>287</v>
      </c>
      <c r="B10" s="64"/>
      <c r="C10" s="64"/>
      <c r="D10" s="65"/>
    </row>
    <row r="11" spans="1:5" x14ac:dyDescent="0.2">
      <c r="A11" s="183" t="s">
        <v>288</v>
      </c>
      <c r="B11" s="84"/>
      <c r="C11" s="84"/>
      <c r="D11" s="85"/>
    </row>
    <row r="12" spans="1:5" x14ac:dyDescent="0.2">
      <c r="A12" s="184" t="s">
        <v>289</v>
      </c>
      <c r="B12" s="64"/>
      <c r="C12" s="64"/>
      <c r="D12" s="65"/>
    </row>
    <row r="13" spans="1:5" x14ac:dyDescent="0.2">
      <c r="A13" s="175" t="s">
        <v>290</v>
      </c>
      <c r="B13" s="64"/>
      <c r="C13" s="64"/>
      <c r="D13" s="65"/>
    </row>
    <row r="14" spans="1:5" x14ac:dyDescent="0.2">
      <c r="A14" s="175" t="s">
        <v>291</v>
      </c>
      <c r="B14" s="64"/>
      <c r="C14" s="64"/>
      <c r="D14" s="65"/>
    </row>
    <row r="15" spans="1:5" x14ac:dyDescent="0.2">
      <c r="A15" s="183" t="s">
        <v>292</v>
      </c>
      <c r="B15" s="64"/>
      <c r="C15" s="64"/>
      <c r="D15" s="65"/>
    </row>
    <row r="16" spans="1:5" x14ac:dyDescent="0.2">
      <c r="A16" s="175" t="s">
        <v>114</v>
      </c>
      <c r="B16" s="84"/>
      <c r="C16" s="84"/>
      <c r="D16" s="85"/>
    </row>
    <row r="17" spans="1:5" x14ac:dyDescent="0.2">
      <c r="A17" s="175" t="s">
        <v>293</v>
      </c>
      <c r="B17" s="64"/>
      <c r="C17" s="64"/>
      <c r="D17" s="65"/>
    </row>
    <row r="18" spans="1:5" x14ac:dyDescent="0.2">
      <c r="A18" s="175" t="s">
        <v>294</v>
      </c>
      <c r="B18" s="64"/>
      <c r="C18" s="64"/>
      <c r="D18" s="65"/>
    </row>
    <row r="19" spans="1:5" x14ac:dyDescent="0.2">
      <c r="A19" s="175" t="s">
        <v>295</v>
      </c>
      <c r="B19" s="64"/>
      <c r="C19" s="64"/>
      <c r="D19" s="65"/>
    </row>
    <row r="20" spans="1:5" x14ac:dyDescent="0.2">
      <c r="A20" s="183" t="s">
        <v>296</v>
      </c>
      <c r="B20" s="64"/>
      <c r="C20" s="64"/>
      <c r="D20" s="65"/>
    </row>
    <row r="21" spans="1:5" x14ac:dyDescent="0.2">
      <c r="A21" s="175" t="s">
        <v>297</v>
      </c>
      <c r="B21" s="64"/>
      <c r="C21" s="64"/>
      <c r="D21" s="65"/>
    </row>
    <row r="22" spans="1:5" x14ac:dyDescent="0.2">
      <c r="A22" s="183" t="s">
        <v>298</v>
      </c>
      <c r="B22" s="64"/>
      <c r="C22" s="64"/>
      <c r="D22" s="65"/>
    </row>
    <row r="23" spans="1:5" x14ac:dyDescent="0.2">
      <c r="A23" s="183" t="s">
        <v>299</v>
      </c>
      <c r="B23" s="64"/>
      <c r="C23" s="64"/>
      <c r="D23" s="65"/>
    </row>
    <row r="24" spans="1:5" x14ac:dyDescent="0.2">
      <c r="A24" s="183" t="s">
        <v>300</v>
      </c>
      <c r="B24" s="84"/>
      <c r="C24" s="84"/>
      <c r="D24" s="85"/>
    </row>
    <row r="25" spans="1:5" x14ac:dyDescent="0.2">
      <c r="A25" s="175" t="s">
        <v>301</v>
      </c>
      <c r="B25" s="64"/>
      <c r="C25" s="64"/>
      <c r="D25" s="65"/>
    </row>
    <row r="26" spans="1:5" x14ac:dyDescent="0.2">
      <c r="A26" s="175" t="s">
        <v>302</v>
      </c>
      <c r="B26" s="64"/>
      <c r="C26" s="64"/>
      <c r="D26" s="65"/>
    </row>
    <row r="27" spans="1:5" x14ac:dyDescent="0.2">
      <c r="A27" s="183" t="s">
        <v>303</v>
      </c>
      <c r="B27" s="64"/>
      <c r="C27" s="64"/>
      <c r="D27" s="65"/>
      <c r="E27" s="187"/>
    </row>
    <row r="28" spans="1:5" x14ac:dyDescent="0.2">
      <c r="A28" s="183" t="s">
        <v>304</v>
      </c>
      <c r="B28" s="84"/>
      <c r="C28" s="84"/>
      <c r="D28" s="114"/>
      <c r="E28" s="188" t="s">
        <v>305</v>
      </c>
    </row>
    <row r="29" spans="1:5" x14ac:dyDescent="0.2">
      <c r="A29" s="183" t="s">
        <v>306</v>
      </c>
      <c r="B29" s="64"/>
      <c r="C29" s="64"/>
      <c r="D29" s="113"/>
      <c r="E29" s="87"/>
    </row>
    <row r="30" spans="1:5" x14ac:dyDescent="0.2">
      <c r="A30" s="183" t="s">
        <v>307</v>
      </c>
      <c r="B30" s="64"/>
      <c r="C30" s="64"/>
      <c r="D30" s="113"/>
      <c r="E30" s="87"/>
    </row>
    <row r="31" spans="1:5" x14ac:dyDescent="0.2">
      <c r="A31" s="183" t="s">
        <v>308</v>
      </c>
      <c r="B31" s="64"/>
      <c r="C31" s="64"/>
      <c r="D31" s="113"/>
      <c r="E31" s="87"/>
    </row>
    <row r="32" spans="1:5" x14ac:dyDescent="0.2">
      <c r="A32" s="185" t="s">
        <v>192</v>
      </c>
      <c r="B32" s="70"/>
      <c r="C32" s="70"/>
      <c r="D32" s="115"/>
      <c r="E32" s="82"/>
    </row>
    <row r="34" spans="1:6" ht="15.75" x14ac:dyDescent="0.25">
      <c r="A34" s="176" t="s">
        <v>309</v>
      </c>
      <c r="B34" s="177"/>
      <c r="C34" s="177"/>
      <c r="D34" s="177"/>
      <c r="E34" s="177"/>
      <c r="F34" s="177"/>
    </row>
    <row r="35" spans="1:6" x14ac:dyDescent="0.2">
      <c r="A35" s="179" t="s">
        <v>88</v>
      </c>
      <c r="B35" s="180" t="s">
        <v>48</v>
      </c>
      <c r="C35" s="180" t="s">
        <v>89</v>
      </c>
      <c r="D35" s="180" t="s">
        <v>90</v>
      </c>
      <c r="E35" s="180" t="s">
        <v>91</v>
      </c>
      <c r="F35" s="180" t="s">
        <v>92</v>
      </c>
    </row>
    <row r="36" spans="1:6" x14ac:dyDescent="0.2">
      <c r="A36" s="189" t="s">
        <v>154</v>
      </c>
      <c r="B36" s="27"/>
      <c r="C36" s="27"/>
      <c r="D36" s="27"/>
      <c r="E36" s="27"/>
      <c r="F36" s="27"/>
    </row>
    <row r="37" spans="1:6" x14ac:dyDescent="0.2">
      <c r="A37" s="190" t="s">
        <v>153</v>
      </c>
      <c r="B37" s="27"/>
      <c r="C37" s="27"/>
      <c r="D37" s="27"/>
      <c r="E37" s="27"/>
      <c r="F37" s="27"/>
    </row>
    <row r="38" spans="1:6" x14ac:dyDescent="0.2">
      <c r="A38" s="189" t="s">
        <v>156</v>
      </c>
      <c r="B38" s="27"/>
      <c r="C38" s="27"/>
      <c r="D38" s="27"/>
      <c r="E38" s="27"/>
      <c r="F38" s="27"/>
    </row>
    <row r="39" spans="1:6" x14ac:dyDescent="0.2">
      <c r="A39" s="190" t="s">
        <v>155</v>
      </c>
      <c r="B39" s="27"/>
      <c r="C39" s="27"/>
      <c r="D39" s="27"/>
      <c r="E39" s="27"/>
      <c r="F39" s="27"/>
    </row>
    <row r="40" spans="1:6" x14ac:dyDescent="0.2">
      <c r="A40" s="189" t="s">
        <v>158</v>
      </c>
      <c r="B40" s="27"/>
      <c r="C40" s="27"/>
      <c r="D40" s="27"/>
      <c r="E40" s="27"/>
      <c r="F40" s="27"/>
    </row>
    <row r="41" spans="1:6" x14ac:dyDescent="0.2">
      <c r="A41" s="190" t="s">
        <v>157</v>
      </c>
      <c r="B41" s="27"/>
      <c r="C41" s="27"/>
      <c r="D41" s="27"/>
      <c r="E41" s="27"/>
      <c r="F41" s="27"/>
    </row>
    <row r="42" spans="1:6" x14ac:dyDescent="0.2">
      <c r="A42" s="190" t="s">
        <v>310</v>
      </c>
      <c r="B42" s="27"/>
      <c r="C42" s="27"/>
      <c r="D42" s="27"/>
      <c r="E42" s="27"/>
      <c r="F42" s="27"/>
    </row>
    <row r="43" spans="1:6" x14ac:dyDescent="0.2">
      <c r="A43" s="189" t="s">
        <v>159</v>
      </c>
      <c r="B43" s="27"/>
      <c r="C43" s="27"/>
      <c r="D43" s="27"/>
      <c r="E43" s="27"/>
      <c r="F43" s="27"/>
    </row>
    <row r="44" spans="1:6" x14ac:dyDescent="0.2">
      <c r="A44" s="191" t="s">
        <v>160</v>
      </c>
      <c r="B44" s="31"/>
      <c r="C44" s="31"/>
      <c r="D44" s="31"/>
      <c r="E44" s="31"/>
      <c r="F44" s="31"/>
    </row>
    <row r="45" spans="1:6" ht="15.75" x14ac:dyDescent="0.25">
      <c r="A45" s="192" t="s">
        <v>311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E1" sqref="E1"/>
    </sheetView>
  </sheetViews>
  <sheetFormatPr defaultColWidth="11.42578125" defaultRowHeight="12.75" x14ac:dyDescent="0.2"/>
  <cols>
    <col min="1" max="1" width="43" style="175" customWidth="1"/>
    <col min="2" max="7" width="14" style="175" customWidth="1"/>
    <col min="8" max="8" width="17.42578125" style="175" customWidth="1"/>
    <col min="9" max="16384" width="11.42578125" style="175"/>
  </cols>
  <sheetData>
    <row r="1" spans="1:7" x14ac:dyDescent="0.2">
      <c r="A1" s="1" t="s">
        <v>0</v>
      </c>
      <c r="B1"/>
      <c r="C1"/>
      <c r="D1"/>
      <c r="E1" s="2">
        <f>InfoInicial!E1</f>
        <v>1</v>
      </c>
    </row>
    <row r="2" spans="1:7" ht="15.75" x14ac:dyDescent="0.25">
      <c r="A2" s="176" t="s">
        <v>211</v>
      </c>
      <c r="B2" s="177"/>
      <c r="C2" s="177"/>
      <c r="D2" s="177"/>
      <c r="E2" s="177"/>
      <c r="F2" s="177"/>
      <c r="G2" s="178"/>
    </row>
    <row r="3" spans="1:7" ht="15.75" x14ac:dyDescent="0.25">
      <c r="A3" s="193"/>
      <c r="B3" s="194" t="s">
        <v>212</v>
      </c>
      <c r="C3" s="194"/>
      <c r="D3" s="194"/>
      <c r="E3" s="194"/>
      <c r="F3" s="194"/>
      <c r="G3" s="195"/>
    </row>
    <row r="4" spans="1:7" x14ac:dyDescent="0.2">
      <c r="A4" s="196" t="s">
        <v>88</v>
      </c>
      <c r="B4" s="197" t="s">
        <v>47</v>
      </c>
      <c r="C4" s="180" t="s">
        <v>48</v>
      </c>
      <c r="D4" s="180" t="s">
        <v>89</v>
      </c>
      <c r="E4" s="180" t="s">
        <v>90</v>
      </c>
      <c r="F4" s="180" t="s">
        <v>91</v>
      </c>
      <c r="G4" s="182" t="s">
        <v>92</v>
      </c>
    </row>
    <row r="5" spans="1:7" x14ac:dyDescent="0.2">
      <c r="A5" s="198" t="s">
        <v>312</v>
      </c>
      <c r="B5" s="122"/>
      <c r="C5" s="105"/>
      <c r="D5" s="105"/>
      <c r="E5" s="105"/>
      <c r="F5" s="105"/>
      <c r="G5" s="106"/>
    </row>
    <row r="6" spans="1:7" x14ac:dyDescent="0.2">
      <c r="A6" s="199" t="s">
        <v>313</v>
      </c>
      <c r="B6" s="124"/>
      <c r="C6" s="64"/>
      <c r="D6" s="64"/>
      <c r="E6" s="64"/>
      <c r="F6" s="64"/>
      <c r="G6" s="65"/>
    </row>
    <row r="7" spans="1:7" x14ac:dyDescent="0.2">
      <c r="A7" s="199" t="s">
        <v>314</v>
      </c>
      <c r="B7" s="124"/>
      <c r="C7" s="64"/>
      <c r="D7" s="64"/>
      <c r="E7" s="64"/>
      <c r="F7" s="64"/>
      <c r="G7" s="65"/>
    </row>
    <row r="8" spans="1:7" x14ac:dyDescent="0.2">
      <c r="A8" s="200" t="s">
        <v>315</v>
      </c>
      <c r="B8" s="124"/>
      <c r="C8" s="64"/>
      <c r="D8" s="64"/>
      <c r="E8" s="64"/>
      <c r="F8" s="64"/>
      <c r="G8" s="65"/>
    </row>
    <row r="9" spans="1:7" x14ac:dyDescent="0.2">
      <c r="A9" s="200" t="s">
        <v>316</v>
      </c>
      <c r="B9" s="124"/>
      <c r="C9" s="64"/>
      <c r="D9" s="64"/>
      <c r="E9" s="64"/>
      <c r="F9" s="64"/>
      <c r="G9" s="65"/>
    </row>
    <row r="10" spans="1:7" x14ac:dyDescent="0.2">
      <c r="A10" s="201" t="s">
        <v>317</v>
      </c>
      <c r="B10" s="124"/>
      <c r="C10" s="64"/>
      <c r="D10" s="64"/>
      <c r="E10" s="64"/>
      <c r="F10" s="64"/>
      <c r="G10" s="65"/>
    </row>
    <row r="11" spans="1:7" x14ac:dyDescent="0.2">
      <c r="A11" s="201"/>
      <c r="B11" s="126"/>
      <c r="C11" s="84"/>
      <c r="D11" s="84"/>
      <c r="E11" s="84"/>
      <c r="F11" s="84"/>
      <c r="G11" s="85"/>
    </row>
    <row r="12" spans="1:7" x14ac:dyDescent="0.2">
      <c r="A12" s="199" t="s">
        <v>223</v>
      </c>
      <c r="B12" s="124"/>
      <c r="C12" s="64"/>
      <c r="D12" s="64"/>
      <c r="E12" s="64"/>
      <c r="F12" s="64"/>
      <c r="G12" s="65"/>
    </row>
    <row r="13" spans="1:7" x14ac:dyDescent="0.2">
      <c r="A13" s="199" t="s">
        <v>224</v>
      </c>
      <c r="B13" s="124"/>
      <c r="C13" s="64"/>
      <c r="D13" s="64"/>
      <c r="E13" s="64"/>
      <c r="F13" s="64"/>
      <c r="G13" s="65"/>
    </row>
    <row r="14" spans="1:7" x14ac:dyDescent="0.2">
      <c r="A14" s="201" t="s">
        <v>318</v>
      </c>
      <c r="B14" s="124"/>
      <c r="C14" s="64"/>
      <c r="D14" s="64"/>
      <c r="E14" s="64"/>
      <c r="F14" s="64"/>
      <c r="G14" s="65"/>
    </row>
    <row r="15" spans="1:7" x14ac:dyDescent="0.2">
      <c r="A15" s="199"/>
      <c r="B15" s="126"/>
      <c r="C15" s="84"/>
      <c r="D15" s="84"/>
      <c r="E15" s="84"/>
      <c r="F15" s="84"/>
      <c r="G15" s="85"/>
    </row>
    <row r="16" spans="1:7" x14ac:dyDescent="0.2">
      <c r="A16" s="202" t="s">
        <v>319</v>
      </c>
      <c r="B16" s="124"/>
      <c r="C16" s="64"/>
      <c r="D16" s="64"/>
      <c r="E16" s="64"/>
      <c r="F16" s="64"/>
      <c r="G16" s="65"/>
    </row>
    <row r="17" spans="1:7" x14ac:dyDescent="0.2">
      <c r="A17" s="202" t="s">
        <v>320</v>
      </c>
      <c r="B17" s="124"/>
      <c r="C17" s="64"/>
      <c r="D17" s="64"/>
      <c r="E17" s="64"/>
      <c r="F17" s="64"/>
      <c r="G17" s="65"/>
    </row>
    <row r="18" spans="1:7" x14ac:dyDescent="0.2">
      <c r="A18" s="201" t="s">
        <v>321</v>
      </c>
      <c r="B18" s="124"/>
      <c r="C18" s="64"/>
      <c r="D18" s="64"/>
      <c r="E18" s="64"/>
      <c r="F18" s="64"/>
      <c r="G18" s="65"/>
    </row>
    <row r="19" spans="1:7" x14ac:dyDescent="0.2">
      <c r="A19" s="201" t="s">
        <v>322</v>
      </c>
      <c r="B19" s="124"/>
      <c r="C19" s="64"/>
      <c r="D19" s="64"/>
      <c r="E19" s="64"/>
      <c r="F19" s="64"/>
      <c r="G19" s="65"/>
    </row>
    <row r="20" spans="1:7" x14ac:dyDescent="0.2">
      <c r="A20" s="199"/>
      <c r="B20" s="126"/>
      <c r="C20" s="84"/>
      <c r="D20" s="84"/>
      <c r="E20" s="84"/>
      <c r="F20" s="84"/>
      <c r="G20" s="85"/>
    </row>
    <row r="21" spans="1:7" x14ac:dyDescent="0.2">
      <c r="A21" s="203" t="s">
        <v>230</v>
      </c>
      <c r="B21" s="129"/>
      <c r="C21" s="70"/>
      <c r="D21" s="70"/>
      <c r="E21" s="70"/>
      <c r="F21" s="70"/>
      <c r="G21" s="71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selection activeCell="E1" sqref="E1"/>
    </sheetView>
  </sheetViews>
  <sheetFormatPr defaultColWidth="11.42578125" defaultRowHeight="12.75" x14ac:dyDescent="0.2"/>
  <cols>
    <col min="1" max="1" width="41" style="204" customWidth="1"/>
    <col min="2" max="8" width="14.85546875" style="204" customWidth="1"/>
    <col min="9" max="9" width="17.42578125" style="204" customWidth="1"/>
    <col min="10" max="16384" width="11.42578125" style="204"/>
  </cols>
  <sheetData>
    <row r="1" spans="1:8" x14ac:dyDescent="0.2">
      <c r="A1" s="1" t="s">
        <v>0</v>
      </c>
      <c r="B1"/>
      <c r="C1"/>
      <c r="D1"/>
      <c r="E1" s="2">
        <f>InfoInicial!E1</f>
        <v>1</v>
      </c>
    </row>
    <row r="3" spans="1:8" ht="15.75" x14ac:dyDescent="0.25">
      <c r="A3" s="205" t="s">
        <v>323</v>
      </c>
      <c r="B3" s="206"/>
      <c r="C3" s="206"/>
      <c r="D3" s="206"/>
      <c r="E3" s="206"/>
      <c r="F3" s="206"/>
      <c r="G3" s="207"/>
      <c r="H3" s="208"/>
    </row>
    <row r="4" spans="1:8" x14ac:dyDescent="0.2">
      <c r="A4" s="209"/>
      <c r="B4" s="210" t="s">
        <v>47</v>
      </c>
      <c r="C4" s="210" t="s">
        <v>48</v>
      </c>
      <c r="D4" s="210" t="s">
        <v>89</v>
      </c>
      <c r="E4" s="210" t="s">
        <v>90</v>
      </c>
      <c r="F4" s="210" t="s">
        <v>91</v>
      </c>
      <c r="G4" s="211" t="s">
        <v>92</v>
      </c>
      <c r="H4" s="212" t="s">
        <v>192</v>
      </c>
    </row>
    <row r="5" spans="1:8" x14ac:dyDescent="0.2">
      <c r="A5" s="183" t="s">
        <v>324</v>
      </c>
      <c r="B5" s="91"/>
      <c r="C5" s="91"/>
      <c r="D5" s="91"/>
      <c r="E5" s="91"/>
      <c r="F5" s="91"/>
      <c r="G5" s="213"/>
      <c r="H5" s="92"/>
    </row>
    <row r="6" spans="1:8" x14ac:dyDescent="0.2">
      <c r="A6" s="175" t="s">
        <v>325</v>
      </c>
      <c r="B6" s="64"/>
      <c r="C6" s="64"/>
      <c r="D6" s="64"/>
      <c r="E6" s="64"/>
      <c r="F6" s="64"/>
      <c r="G6" s="113"/>
      <c r="H6" s="65"/>
    </row>
    <row r="7" spans="1:8" x14ac:dyDescent="0.2">
      <c r="A7" s="175" t="s">
        <v>326</v>
      </c>
      <c r="B7" s="214"/>
      <c r="C7" s="214"/>
      <c r="D7" s="214"/>
      <c r="E7" s="214"/>
      <c r="F7" s="214"/>
      <c r="G7" s="215"/>
      <c r="H7" s="216"/>
    </row>
    <row r="8" spans="1:8" x14ac:dyDescent="0.2">
      <c r="A8" s="175" t="s">
        <v>327</v>
      </c>
      <c r="B8" s="64"/>
      <c r="C8" s="64"/>
      <c r="D8" s="64"/>
      <c r="E8" s="64"/>
      <c r="F8" s="64"/>
      <c r="G8" s="113"/>
      <c r="H8" s="65"/>
    </row>
    <row r="9" spans="1:8" x14ac:dyDescent="0.2">
      <c r="A9" s="175" t="s">
        <v>328</v>
      </c>
      <c r="B9" s="214"/>
      <c r="C9" s="214"/>
      <c r="D9" s="214"/>
      <c r="E9" s="214"/>
      <c r="F9" s="214"/>
      <c r="G9" s="215"/>
      <c r="H9" s="216"/>
    </row>
    <row r="10" spans="1:8" x14ac:dyDescent="0.2">
      <c r="A10" s="175" t="s">
        <v>329</v>
      </c>
      <c r="B10" s="64"/>
      <c r="C10" s="64"/>
      <c r="D10" s="64"/>
      <c r="E10" s="64"/>
      <c r="F10" s="64"/>
      <c r="G10" s="113"/>
      <c r="H10" s="65"/>
    </row>
    <row r="11" spans="1:8" x14ac:dyDescent="0.2">
      <c r="A11" s="175" t="s">
        <v>330</v>
      </c>
      <c r="B11" s="91"/>
      <c r="C11" s="91"/>
      <c r="D11" s="91"/>
      <c r="E11" s="91"/>
      <c r="F11" s="91"/>
      <c r="G11" s="213"/>
      <c r="H11" s="92"/>
    </row>
    <row r="12" spans="1:8" x14ac:dyDescent="0.2">
      <c r="A12" s="175"/>
      <c r="B12" s="64"/>
      <c r="C12" s="64"/>
      <c r="D12" s="64"/>
      <c r="E12" s="64"/>
      <c r="F12" s="64"/>
      <c r="G12" s="113"/>
      <c r="H12" s="65"/>
    </row>
    <row r="13" spans="1:8" x14ac:dyDescent="0.2">
      <c r="A13" s="183" t="s">
        <v>331</v>
      </c>
      <c r="B13" s="64"/>
      <c r="C13" s="64"/>
      <c r="D13" s="64"/>
      <c r="E13" s="64"/>
      <c r="F13" s="64"/>
      <c r="G13" s="113"/>
      <c r="H13" s="65"/>
    </row>
    <row r="14" spans="1:8" x14ac:dyDescent="0.2">
      <c r="A14" s="175" t="s">
        <v>332</v>
      </c>
      <c r="B14" s="214"/>
      <c r="C14" s="214"/>
      <c r="D14" s="214"/>
      <c r="E14" s="214"/>
      <c r="F14" s="214"/>
      <c r="G14" s="215"/>
      <c r="H14" s="216"/>
    </row>
    <row r="15" spans="1:8" x14ac:dyDescent="0.2">
      <c r="A15" s="175" t="s">
        <v>255</v>
      </c>
      <c r="B15" s="64"/>
      <c r="C15" s="64"/>
      <c r="D15" s="64"/>
      <c r="E15" s="64"/>
      <c r="F15" s="64"/>
      <c r="G15" s="113"/>
      <c r="H15" s="65"/>
    </row>
    <row r="16" spans="1:8" x14ac:dyDescent="0.2">
      <c r="A16" s="175" t="s">
        <v>333</v>
      </c>
      <c r="B16" s="64"/>
      <c r="C16" s="64"/>
      <c r="D16" s="64"/>
      <c r="E16" s="64"/>
      <c r="F16" s="64"/>
      <c r="G16" s="113"/>
      <c r="H16" s="65"/>
    </row>
    <row r="17" spans="1:14" x14ac:dyDescent="0.2">
      <c r="A17" s="175" t="s">
        <v>334</v>
      </c>
      <c r="B17" s="64"/>
      <c r="C17" s="64"/>
      <c r="D17" s="64"/>
      <c r="E17" s="64"/>
      <c r="F17" s="64"/>
      <c r="G17" s="113"/>
      <c r="H17" s="65"/>
    </row>
    <row r="18" spans="1:14" x14ac:dyDescent="0.2">
      <c r="A18" s="175" t="s">
        <v>335</v>
      </c>
      <c r="B18" s="214"/>
      <c r="C18" s="214"/>
      <c r="D18" s="214"/>
      <c r="E18" s="214"/>
      <c r="F18" s="214"/>
      <c r="G18" s="215"/>
      <c r="H18" s="216"/>
    </row>
    <row r="19" spans="1:14" x14ac:dyDescent="0.2">
      <c r="A19" s="175" t="s">
        <v>336</v>
      </c>
      <c r="B19" s="64"/>
      <c r="C19" s="64"/>
      <c r="D19" s="64"/>
      <c r="E19" s="64"/>
      <c r="F19" s="64"/>
      <c r="G19" s="113"/>
      <c r="H19" s="65"/>
    </row>
    <row r="20" spans="1:14" x14ac:dyDescent="0.2">
      <c r="A20" s="175" t="s">
        <v>337</v>
      </c>
      <c r="B20" s="214"/>
      <c r="C20" s="214"/>
      <c r="D20" s="214"/>
      <c r="E20" s="214"/>
      <c r="F20" s="214"/>
      <c r="G20" s="215"/>
      <c r="H20" s="216"/>
    </row>
    <row r="21" spans="1:14" x14ac:dyDescent="0.2">
      <c r="A21" s="175" t="s">
        <v>338</v>
      </c>
      <c r="B21" s="64"/>
      <c r="C21" s="64"/>
      <c r="D21" s="64"/>
      <c r="E21" s="64"/>
      <c r="F21" s="64"/>
      <c r="G21" s="113"/>
      <c r="H21" s="65"/>
    </row>
    <row r="22" spans="1:14" x14ac:dyDescent="0.2">
      <c r="A22" s="175" t="s">
        <v>339</v>
      </c>
      <c r="B22" s="91"/>
      <c r="C22" s="91"/>
      <c r="D22" s="91"/>
      <c r="E22" s="91"/>
      <c r="F22" s="91"/>
      <c r="G22" s="213"/>
      <c r="H22" s="92"/>
    </row>
    <row r="23" spans="1:14" x14ac:dyDescent="0.2">
      <c r="A23" s="175"/>
      <c r="B23" s="84"/>
      <c r="C23" s="84"/>
      <c r="D23" s="84"/>
      <c r="E23" s="84"/>
      <c r="F23" s="84"/>
      <c r="G23" s="114"/>
      <c r="H23" s="85"/>
    </row>
    <row r="24" spans="1:14" x14ac:dyDescent="0.2">
      <c r="A24" s="183" t="s">
        <v>340</v>
      </c>
      <c r="B24" s="64"/>
      <c r="C24" s="64"/>
      <c r="D24" s="64"/>
      <c r="E24" s="64"/>
      <c r="F24" s="64"/>
      <c r="G24" s="113"/>
      <c r="H24" s="65"/>
    </row>
    <row r="25" spans="1:14" x14ac:dyDescent="0.2">
      <c r="A25" s="183" t="s">
        <v>341</v>
      </c>
      <c r="B25" s="64"/>
      <c r="C25" s="64"/>
      <c r="D25" s="64"/>
      <c r="E25" s="64"/>
      <c r="F25" s="64"/>
      <c r="G25" s="113"/>
      <c r="H25" s="65"/>
    </row>
    <row r="26" spans="1:14" x14ac:dyDescent="0.2">
      <c r="A26" s="183"/>
      <c r="B26" s="84"/>
      <c r="C26" s="84"/>
      <c r="D26" s="84"/>
      <c r="E26" s="84"/>
      <c r="F26" s="84"/>
      <c r="G26" s="114"/>
      <c r="H26" s="85"/>
    </row>
    <row r="27" spans="1:14" x14ac:dyDescent="0.2">
      <c r="A27" s="183" t="s">
        <v>342</v>
      </c>
      <c r="B27" s="93"/>
      <c r="C27" s="93"/>
      <c r="D27" s="93"/>
      <c r="E27" s="93"/>
      <c r="F27" s="93"/>
      <c r="G27" s="217"/>
      <c r="H27" s="94"/>
    </row>
    <row r="28" spans="1:14" x14ac:dyDescent="0.2">
      <c r="A28" s="191" t="s">
        <v>343</v>
      </c>
      <c r="B28" s="31"/>
      <c r="C28" s="31"/>
      <c r="D28" s="31"/>
      <c r="E28" s="31"/>
      <c r="F28" s="31"/>
      <c r="G28" s="218"/>
      <c r="H28" s="54"/>
      <c r="I28" s="175"/>
      <c r="J28" s="175"/>
      <c r="K28" s="175"/>
      <c r="L28" s="175"/>
      <c r="M28" s="175"/>
      <c r="N28" s="175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E1" sqref="E1"/>
    </sheetView>
  </sheetViews>
  <sheetFormatPr defaultColWidth="11.42578125" defaultRowHeight="12.75" x14ac:dyDescent="0.2"/>
  <cols>
    <col min="1" max="1" width="37.7109375" style="175" customWidth="1"/>
    <col min="2" max="7" width="14.85546875" style="175" customWidth="1"/>
    <col min="8" max="8" width="17.42578125" style="175" customWidth="1"/>
    <col min="9" max="16384" width="11.42578125" style="175"/>
  </cols>
  <sheetData>
    <row r="1" spans="1:7" x14ac:dyDescent="0.2">
      <c r="A1" s="1" t="s">
        <v>0</v>
      </c>
      <c r="B1"/>
      <c r="C1"/>
      <c r="D1"/>
      <c r="E1" s="2">
        <f>InfoInicial!E1</f>
        <v>1</v>
      </c>
    </row>
    <row r="3" spans="1:7" ht="15.75" x14ac:dyDescent="0.25">
      <c r="A3" s="205" t="s">
        <v>344</v>
      </c>
      <c r="B3" s="206"/>
      <c r="C3" s="206"/>
      <c r="D3" s="206"/>
      <c r="E3" s="206"/>
      <c r="F3" s="206"/>
      <c r="G3" s="208"/>
    </row>
    <row r="4" spans="1:7" x14ac:dyDescent="0.2">
      <c r="A4" s="219"/>
      <c r="B4" s="220" t="s">
        <v>47</v>
      </c>
      <c r="C4" s="220" t="s">
        <v>48</v>
      </c>
      <c r="D4" s="220" t="s">
        <v>89</v>
      </c>
      <c r="E4" s="220" t="s">
        <v>90</v>
      </c>
      <c r="F4" s="220" t="s">
        <v>91</v>
      </c>
      <c r="G4" s="221" t="s">
        <v>92</v>
      </c>
    </row>
    <row r="5" spans="1:7" x14ac:dyDescent="0.2">
      <c r="A5" s="222" t="s">
        <v>345</v>
      </c>
      <c r="B5" s="223"/>
      <c r="C5" s="223"/>
      <c r="D5" s="223"/>
      <c r="E5" s="223"/>
      <c r="F5" s="223"/>
      <c r="G5" s="224"/>
    </row>
    <row r="6" spans="1:7" x14ac:dyDescent="0.2">
      <c r="A6" s="189" t="s">
        <v>346</v>
      </c>
      <c r="B6" s="84"/>
      <c r="C6" s="84"/>
      <c r="D6" s="84"/>
      <c r="E6" s="84"/>
      <c r="F6" s="84"/>
      <c r="G6" s="85"/>
    </row>
    <row r="7" spans="1:7" x14ac:dyDescent="0.2">
      <c r="A7" s="209" t="s">
        <v>347</v>
      </c>
      <c r="B7" s="214"/>
      <c r="C7" s="214"/>
      <c r="D7" s="214"/>
      <c r="E7" s="214"/>
      <c r="F7" s="214"/>
      <c r="G7" s="216"/>
    </row>
    <row r="8" spans="1:7" x14ac:dyDescent="0.2">
      <c r="A8" s="209" t="s">
        <v>348</v>
      </c>
      <c r="B8" s="64"/>
      <c r="C8" s="64"/>
      <c r="D8" s="64"/>
      <c r="E8" s="64"/>
      <c r="F8" s="64"/>
      <c r="G8" s="65"/>
    </row>
    <row r="9" spans="1:7" x14ac:dyDescent="0.2">
      <c r="A9" s="189" t="s">
        <v>349</v>
      </c>
      <c r="B9" s="214"/>
      <c r="C9" s="214"/>
      <c r="D9" s="214"/>
      <c r="E9" s="214"/>
      <c r="F9" s="214"/>
      <c r="G9" s="216"/>
    </row>
    <row r="10" spans="1:7" x14ac:dyDescent="0.2">
      <c r="A10" s="189" t="s">
        <v>350</v>
      </c>
      <c r="B10" s="64"/>
      <c r="C10" s="64"/>
      <c r="D10" s="64"/>
      <c r="E10" s="64"/>
      <c r="F10" s="64"/>
      <c r="G10" s="65"/>
    </row>
    <row r="11" spans="1:7" x14ac:dyDescent="0.2">
      <c r="A11" s="189" t="s">
        <v>351</v>
      </c>
      <c r="B11" s="91"/>
      <c r="C11" s="91"/>
      <c r="D11" s="91"/>
      <c r="E11" s="91"/>
      <c r="F11" s="91"/>
      <c r="G11" s="92"/>
    </row>
    <row r="12" spans="1:7" x14ac:dyDescent="0.2">
      <c r="A12" s="189" t="s">
        <v>352</v>
      </c>
      <c r="B12" s="91"/>
      <c r="C12" s="91"/>
      <c r="D12" s="91"/>
      <c r="E12" s="91"/>
      <c r="F12" s="91"/>
      <c r="G12" s="92"/>
    </row>
    <row r="13" spans="1:7" x14ac:dyDescent="0.2">
      <c r="A13" s="189" t="s">
        <v>353</v>
      </c>
      <c r="B13" s="225"/>
      <c r="C13" s="225"/>
      <c r="D13" s="225"/>
      <c r="E13" s="225"/>
      <c r="F13" s="225"/>
      <c r="G13" s="226"/>
    </row>
    <row r="14" spans="1:7" x14ac:dyDescent="0.2">
      <c r="A14" s="209" t="s">
        <v>354</v>
      </c>
      <c r="B14" s="64"/>
      <c r="C14" s="64"/>
      <c r="D14" s="64"/>
      <c r="E14" s="64"/>
      <c r="F14" s="64"/>
      <c r="G14" s="65"/>
    </row>
    <row r="15" spans="1:7" x14ac:dyDescent="0.2">
      <c r="A15" s="209" t="s">
        <v>355</v>
      </c>
      <c r="B15" s="214"/>
      <c r="C15" s="214"/>
      <c r="D15" s="214"/>
      <c r="E15" s="214"/>
      <c r="F15" s="214"/>
      <c r="G15" s="216"/>
    </row>
    <row r="16" spans="1:7" x14ac:dyDescent="0.2">
      <c r="A16" s="209" t="s">
        <v>356</v>
      </c>
      <c r="B16" s="64"/>
      <c r="C16" s="64"/>
      <c r="D16" s="64"/>
      <c r="E16" s="64"/>
      <c r="F16" s="64"/>
      <c r="G16" s="65"/>
    </row>
    <row r="17" spans="1:7" x14ac:dyDescent="0.2">
      <c r="A17" s="209" t="s">
        <v>357</v>
      </c>
      <c r="B17" s="64"/>
      <c r="C17" s="64"/>
      <c r="D17" s="64"/>
      <c r="E17" s="64"/>
      <c r="F17" s="64"/>
      <c r="G17" s="65"/>
    </row>
    <row r="18" spans="1:7" x14ac:dyDescent="0.2">
      <c r="A18" s="189" t="s">
        <v>81</v>
      </c>
      <c r="B18" s="214"/>
      <c r="C18" s="214"/>
      <c r="D18" s="214"/>
      <c r="E18" s="214"/>
      <c r="F18" s="214"/>
      <c r="G18" s="216"/>
    </row>
    <row r="19" spans="1:7" x14ac:dyDescent="0.2">
      <c r="A19" s="209" t="s">
        <v>354</v>
      </c>
      <c r="B19" s="64"/>
      <c r="C19" s="64"/>
      <c r="D19" s="64"/>
      <c r="E19" s="64"/>
      <c r="F19" s="64"/>
      <c r="G19" s="65"/>
    </row>
    <row r="20" spans="1:7" x14ac:dyDescent="0.2">
      <c r="A20" s="209" t="s">
        <v>358</v>
      </c>
      <c r="B20" s="64"/>
      <c r="C20" s="64"/>
      <c r="D20" s="64"/>
      <c r="E20" s="64"/>
      <c r="F20" s="64"/>
      <c r="G20" s="65"/>
    </row>
    <row r="21" spans="1:7" x14ac:dyDescent="0.2">
      <c r="A21" s="209" t="s">
        <v>359</v>
      </c>
      <c r="B21" s="64"/>
      <c r="C21" s="64"/>
      <c r="D21" s="64"/>
      <c r="E21" s="64"/>
      <c r="F21" s="64"/>
      <c r="G21" s="65"/>
    </row>
    <row r="22" spans="1:7" x14ac:dyDescent="0.2">
      <c r="A22" s="209" t="s">
        <v>357</v>
      </c>
      <c r="B22" s="214"/>
      <c r="C22" s="214"/>
      <c r="D22" s="214"/>
      <c r="E22" s="214"/>
      <c r="F22" s="214"/>
      <c r="G22" s="216"/>
    </row>
    <row r="23" spans="1:7" x14ac:dyDescent="0.2">
      <c r="A23" s="189" t="s">
        <v>360</v>
      </c>
      <c r="B23" s="214"/>
      <c r="C23" s="214"/>
      <c r="D23" s="214"/>
      <c r="E23" s="214"/>
      <c r="F23" s="214"/>
      <c r="G23" s="216"/>
    </row>
    <row r="24" spans="1:7" x14ac:dyDescent="0.2">
      <c r="A24" s="189" t="s">
        <v>361</v>
      </c>
      <c r="B24" s="214"/>
      <c r="C24" s="214"/>
      <c r="D24" s="214"/>
      <c r="E24" s="214"/>
      <c r="F24" s="214"/>
      <c r="G24" s="216"/>
    </row>
    <row r="25" spans="1:7" x14ac:dyDescent="0.2">
      <c r="A25" s="189" t="s">
        <v>362</v>
      </c>
      <c r="B25" s="214"/>
      <c r="C25" s="214"/>
      <c r="D25" s="214"/>
      <c r="E25" s="214"/>
      <c r="F25" s="214"/>
      <c r="G25" s="216"/>
    </row>
    <row r="26" spans="1:7" x14ac:dyDescent="0.2">
      <c r="A26" s="189" t="s">
        <v>363</v>
      </c>
      <c r="B26" s="214"/>
      <c r="C26" s="214"/>
      <c r="D26" s="214"/>
      <c r="E26" s="214"/>
      <c r="F26" s="214"/>
      <c r="G26" s="216"/>
    </row>
    <row r="27" spans="1:7" x14ac:dyDescent="0.2">
      <c r="A27" s="189" t="s">
        <v>364</v>
      </c>
      <c r="B27" s="64"/>
      <c r="C27" s="64"/>
      <c r="D27" s="64"/>
      <c r="E27" s="64"/>
      <c r="F27" s="64"/>
      <c r="G27" s="65"/>
    </row>
    <row r="28" spans="1:7" x14ac:dyDescent="0.2">
      <c r="A28" s="189" t="s">
        <v>365</v>
      </c>
      <c r="B28" s="64"/>
      <c r="C28" s="64"/>
      <c r="D28" s="64"/>
      <c r="E28" s="64"/>
      <c r="F28" s="64"/>
      <c r="G28" s="65"/>
    </row>
    <row r="29" spans="1:7" x14ac:dyDescent="0.2">
      <c r="A29" s="189" t="s">
        <v>364</v>
      </c>
      <c r="B29" s="214"/>
      <c r="C29" s="214"/>
      <c r="D29" s="214"/>
      <c r="E29" s="214"/>
      <c r="F29" s="214"/>
      <c r="G29" s="216"/>
    </row>
    <row r="30" spans="1:7" x14ac:dyDescent="0.2">
      <c r="A30" s="189" t="s">
        <v>366</v>
      </c>
      <c r="B30" s="64"/>
      <c r="C30" s="64"/>
      <c r="D30" s="64"/>
      <c r="E30" s="64"/>
      <c r="F30" s="64"/>
      <c r="G30" s="65"/>
    </row>
    <row r="31" spans="1:7" x14ac:dyDescent="0.2">
      <c r="A31" s="189" t="s">
        <v>367</v>
      </c>
      <c r="B31" s="64"/>
      <c r="C31" s="64"/>
      <c r="D31" s="64"/>
      <c r="E31" s="64"/>
      <c r="F31" s="64"/>
      <c r="G31" s="65"/>
    </row>
    <row r="32" spans="1:7" x14ac:dyDescent="0.2">
      <c r="A32" s="189" t="s">
        <v>368</v>
      </c>
      <c r="B32" s="64"/>
      <c r="C32" s="64"/>
      <c r="D32" s="64"/>
      <c r="E32" s="64"/>
      <c r="F32" s="64"/>
      <c r="G32" s="65"/>
    </row>
    <row r="33" spans="1:7" x14ac:dyDescent="0.2">
      <c r="A33" s="189" t="s">
        <v>369</v>
      </c>
      <c r="B33" s="214"/>
      <c r="C33" s="214"/>
      <c r="D33" s="214"/>
      <c r="E33" s="214"/>
      <c r="F33" s="214"/>
      <c r="G33" s="216"/>
    </row>
    <row r="34" spans="1:7" x14ac:dyDescent="0.2">
      <c r="A34" s="189" t="s">
        <v>370</v>
      </c>
      <c r="B34" s="64"/>
      <c r="C34" s="64"/>
      <c r="D34" s="64"/>
      <c r="E34" s="64"/>
      <c r="F34" s="64"/>
      <c r="G34" s="65"/>
    </row>
    <row r="35" spans="1:7" x14ac:dyDescent="0.2">
      <c r="A35" s="191" t="s">
        <v>371</v>
      </c>
      <c r="B35" s="31"/>
      <c r="C35" s="31"/>
      <c r="D35" s="31"/>
      <c r="E35" s="31"/>
      <c r="F35" s="31"/>
      <c r="G35" s="54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G1" sqref="G1"/>
    </sheetView>
  </sheetViews>
  <sheetFormatPr defaultColWidth="11.42578125" defaultRowHeight="12.75" x14ac:dyDescent="0.2"/>
  <cols>
    <col min="1" max="1" width="8" style="175" customWidth="1"/>
    <col min="2" max="14" width="14.85546875" style="175" customWidth="1"/>
    <col min="15" max="15" width="17.42578125" style="175" customWidth="1"/>
    <col min="16" max="16384" width="11.42578125" style="175"/>
  </cols>
  <sheetData>
    <row r="1" spans="1:14" x14ac:dyDescent="0.2">
      <c r="A1" s="1" t="s">
        <v>0</v>
      </c>
      <c r="B1"/>
      <c r="C1"/>
      <c r="D1"/>
      <c r="G1" s="2">
        <f>InfoInicial!E1</f>
        <v>1</v>
      </c>
    </row>
    <row r="3" spans="1:14" ht="15.75" x14ac:dyDescent="0.25">
      <c r="A3" s="176" t="s">
        <v>372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</row>
    <row r="4" spans="1:14" ht="25.5" x14ac:dyDescent="0.2">
      <c r="A4" s="196" t="s">
        <v>232</v>
      </c>
      <c r="B4" s="197" t="s">
        <v>332</v>
      </c>
      <c r="C4" s="197" t="s">
        <v>373</v>
      </c>
      <c r="D4" s="197" t="s">
        <v>235</v>
      </c>
      <c r="E4" s="197" t="s">
        <v>3</v>
      </c>
      <c r="F4" s="197" t="s">
        <v>236</v>
      </c>
      <c r="G4" s="197" t="s">
        <v>237</v>
      </c>
      <c r="H4" s="197" t="s">
        <v>374</v>
      </c>
      <c r="I4" s="197" t="s">
        <v>375</v>
      </c>
      <c r="J4" s="197" t="s">
        <v>96</v>
      </c>
      <c r="K4" s="197" t="s">
        <v>239</v>
      </c>
      <c r="L4" s="197" t="s">
        <v>240</v>
      </c>
      <c r="M4" s="227" t="s">
        <v>241</v>
      </c>
      <c r="N4" s="228" t="s">
        <v>242</v>
      </c>
    </row>
    <row r="5" spans="1:14" x14ac:dyDescent="0.2">
      <c r="A5" s="229">
        <v>0</v>
      </c>
      <c r="B5" s="133"/>
      <c r="C5" s="62"/>
      <c r="D5" s="62"/>
      <c r="E5" s="62"/>
      <c r="F5" s="62"/>
      <c r="G5" s="62"/>
      <c r="H5" s="62"/>
      <c r="I5" s="62"/>
      <c r="J5" s="62"/>
      <c r="K5" s="62"/>
      <c r="L5" s="62"/>
      <c r="M5" s="134"/>
      <c r="N5" s="63"/>
    </row>
    <row r="6" spans="1:14" x14ac:dyDescent="0.2">
      <c r="A6" s="230">
        <v>1</v>
      </c>
      <c r="B6" s="124"/>
      <c r="C6" s="64"/>
      <c r="D6" s="64"/>
      <c r="E6" s="64"/>
      <c r="F6" s="64"/>
      <c r="G6" s="64"/>
      <c r="H6" s="64"/>
      <c r="I6" s="64"/>
      <c r="J6" s="64"/>
      <c r="K6" s="64"/>
      <c r="L6" s="64"/>
      <c r="M6" s="113"/>
      <c r="N6" s="65"/>
    </row>
    <row r="7" spans="1:14" x14ac:dyDescent="0.2">
      <c r="A7" s="230">
        <v>2</v>
      </c>
      <c r="B7" s="124"/>
      <c r="C7" s="64"/>
      <c r="D7" s="64"/>
      <c r="E7" s="64"/>
      <c r="F7" s="64"/>
      <c r="G7" s="64"/>
      <c r="H7" s="64"/>
      <c r="I7" s="64"/>
      <c r="J7" s="64"/>
      <c r="K7" s="64"/>
      <c r="L7" s="64"/>
      <c r="M7" s="113"/>
      <c r="N7" s="65"/>
    </row>
    <row r="8" spans="1:14" x14ac:dyDescent="0.2">
      <c r="A8" s="230">
        <v>3</v>
      </c>
      <c r="B8" s="124"/>
      <c r="C8" s="64"/>
      <c r="D8" s="64"/>
      <c r="E8" s="64"/>
      <c r="F8" s="64"/>
      <c r="G8" s="64"/>
      <c r="H8" s="64"/>
      <c r="I8" s="64"/>
      <c r="J8" s="64"/>
      <c r="K8" s="64"/>
      <c r="L8" s="64"/>
      <c r="M8" s="113"/>
      <c r="N8" s="65"/>
    </row>
    <row r="9" spans="1:14" x14ac:dyDescent="0.2">
      <c r="A9" s="230">
        <v>4</v>
      </c>
      <c r="B9" s="124"/>
      <c r="C9" s="64"/>
      <c r="D9" s="64"/>
      <c r="E9" s="64"/>
      <c r="F9" s="64"/>
      <c r="G9" s="64"/>
      <c r="H9" s="64"/>
      <c r="I9" s="64"/>
      <c r="J9" s="64"/>
      <c r="K9" s="64"/>
      <c r="L9" s="64"/>
      <c r="M9" s="113"/>
      <c r="N9" s="65"/>
    </row>
    <row r="10" spans="1:14" x14ac:dyDescent="0.2">
      <c r="A10" s="230">
        <v>5</v>
      </c>
      <c r="B10" s="12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113"/>
      <c r="N10" s="65"/>
    </row>
    <row r="11" spans="1:14" x14ac:dyDescent="0.2">
      <c r="A11" s="230"/>
      <c r="B11" s="126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114"/>
      <c r="N11" s="85"/>
    </row>
    <row r="12" spans="1:14" x14ac:dyDescent="0.2">
      <c r="A12" s="231" t="s">
        <v>243</v>
      </c>
      <c r="B12" s="12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115"/>
      <c r="N12" s="71"/>
    </row>
    <row r="14" spans="1:14" x14ac:dyDescent="0.2">
      <c r="C14" s="232" t="s">
        <v>244</v>
      </c>
      <c r="D14" s="138"/>
    </row>
    <row r="15" spans="1:14" x14ac:dyDescent="0.2">
      <c r="A15" s="183"/>
      <c r="C15" s="232" t="s">
        <v>245</v>
      </c>
      <c r="D15" s="139"/>
      <c r="E15" s="175" t="s">
        <v>246</v>
      </c>
    </row>
    <row r="16" spans="1:14" x14ac:dyDescent="0.2">
      <c r="C16" s="232" t="s">
        <v>376</v>
      </c>
      <c r="D16" s="140"/>
    </row>
    <row r="17" spans="1:15" x14ac:dyDescent="0.2">
      <c r="A17" s="233"/>
      <c r="B17" s="234"/>
      <c r="C17" s="234"/>
      <c r="D17" s="234"/>
      <c r="E17" s="235"/>
      <c r="F17" s="236"/>
      <c r="G17" s="236"/>
      <c r="H17" s="236"/>
      <c r="I17" s="236"/>
      <c r="J17" s="234"/>
      <c r="K17" s="236"/>
      <c r="L17" s="236"/>
      <c r="M17" s="236"/>
      <c r="N17" s="236"/>
      <c r="O17" s="234"/>
    </row>
    <row r="18" spans="1:15" ht="15.75" x14ac:dyDescent="0.25">
      <c r="A18" s="237"/>
      <c r="B18" s="236"/>
      <c r="C18" s="238"/>
      <c r="D18" s="236"/>
      <c r="E18" s="239"/>
      <c r="F18" s="236"/>
      <c r="G18" s="236"/>
      <c r="H18" s="236"/>
      <c r="I18" s="236"/>
      <c r="J18" s="236"/>
      <c r="K18" s="236"/>
      <c r="L18" s="236"/>
      <c r="M18" s="236"/>
      <c r="N18" s="236"/>
    </row>
    <row r="20" spans="1:15" x14ac:dyDescent="0.2">
      <c r="A20" s="240"/>
    </row>
    <row r="21" spans="1:15" ht="15.75" x14ac:dyDescent="0.25">
      <c r="A21" s="176" t="s">
        <v>377</v>
      </c>
      <c r="B21" s="177"/>
      <c r="C21" s="177"/>
      <c r="D21" s="177"/>
      <c r="E21" s="177"/>
      <c r="F21" s="177"/>
      <c r="G21" s="177"/>
      <c r="H21" s="178"/>
    </row>
    <row r="22" spans="1:15" ht="38.25" x14ac:dyDescent="0.2">
      <c r="A22" s="196" t="s">
        <v>232</v>
      </c>
      <c r="B22" s="197" t="s">
        <v>378</v>
      </c>
      <c r="C22" s="197" t="s">
        <v>237</v>
      </c>
      <c r="D22" s="197" t="s">
        <v>337</v>
      </c>
      <c r="E22" s="197" t="s">
        <v>379</v>
      </c>
      <c r="F22" s="197" t="s">
        <v>240</v>
      </c>
      <c r="G22" s="227" t="s">
        <v>241</v>
      </c>
      <c r="H22" s="228" t="s">
        <v>242</v>
      </c>
    </row>
    <row r="23" spans="1:15" x14ac:dyDescent="0.2">
      <c r="A23" s="229">
        <v>0</v>
      </c>
      <c r="B23" s="133"/>
      <c r="C23" s="62"/>
      <c r="D23" s="62"/>
      <c r="E23" s="62"/>
      <c r="F23" s="62"/>
      <c r="G23" s="134"/>
      <c r="H23" s="63"/>
    </row>
    <row r="24" spans="1:15" x14ac:dyDescent="0.2">
      <c r="A24" s="230">
        <v>1</v>
      </c>
      <c r="B24" s="124"/>
      <c r="C24" s="64"/>
      <c r="D24" s="64"/>
      <c r="E24" s="64"/>
      <c r="F24" s="64"/>
      <c r="G24" s="113"/>
      <c r="H24" s="65"/>
    </row>
    <row r="25" spans="1:15" x14ac:dyDescent="0.2">
      <c r="A25" s="230">
        <v>2</v>
      </c>
      <c r="B25" s="124"/>
      <c r="C25" s="64"/>
      <c r="D25" s="64"/>
      <c r="E25" s="64"/>
      <c r="F25" s="64"/>
      <c r="G25" s="113"/>
      <c r="H25" s="65"/>
    </row>
    <row r="26" spans="1:15" x14ac:dyDescent="0.2">
      <c r="A26" s="230">
        <v>3</v>
      </c>
      <c r="B26" s="124"/>
      <c r="C26" s="64"/>
      <c r="D26" s="64"/>
      <c r="E26" s="64"/>
      <c r="F26" s="64"/>
      <c r="G26" s="113"/>
      <c r="H26" s="65"/>
    </row>
    <row r="27" spans="1:15" x14ac:dyDescent="0.2">
      <c r="A27" s="230">
        <v>4</v>
      </c>
      <c r="B27" s="124"/>
      <c r="C27" s="64"/>
      <c r="D27" s="64"/>
      <c r="E27" s="64"/>
      <c r="F27" s="64"/>
      <c r="G27" s="113"/>
      <c r="H27" s="65"/>
    </row>
    <row r="28" spans="1:15" x14ac:dyDescent="0.2">
      <c r="A28" s="230">
        <v>5</v>
      </c>
      <c r="B28" s="124"/>
      <c r="C28" s="64"/>
      <c r="D28" s="64"/>
      <c r="E28" s="64"/>
      <c r="F28" s="64"/>
      <c r="G28" s="113"/>
      <c r="H28" s="65"/>
    </row>
    <row r="29" spans="1:15" x14ac:dyDescent="0.2">
      <c r="A29" s="230"/>
      <c r="B29" s="126"/>
      <c r="C29" s="84"/>
      <c r="D29" s="84"/>
      <c r="E29" s="84"/>
      <c r="F29" s="84"/>
      <c r="G29" s="114"/>
      <c r="H29" s="85"/>
    </row>
    <row r="30" spans="1:15" x14ac:dyDescent="0.2">
      <c r="A30" s="231" t="s">
        <v>243</v>
      </c>
      <c r="B30" s="129"/>
      <c r="C30" s="70"/>
      <c r="D30" s="70"/>
      <c r="E30" s="70"/>
      <c r="F30" s="70"/>
      <c r="G30" s="115"/>
      <c r="H30" s="71"/>
    </row>
    <row r="33" spans="3:5" x14ac:dyDescent="0.2">
      <c r="C33" s="232" t="s">
        <v>244</v>
      </c>
      <c r="D33" s="138"/>
      <c r="E33" s="175" t="s">
        <v>380</v>
      </c>
    </row>
    <row r="34" spans="3:5" x14ac:dyDescent="0.2">
      <c r="C34" s="232" t="s">
        <v>245</v>
      </c>
      <c r="D34" s="139"/>
      <c r="E34" s="175" t="s">
        <v>381</v>
      </c>
    </row>
    <row r="35" spans="3:5" x14ac:dyDescent="0.2">
      <c r="C35" s="232" t="s">
        <v>382</v>
      </c>
      <c r="D35" s="140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opLeftCell="A13" workbookViewId="0">
      <selection activeCell="B54" sqref="B54"/>
    </sheetView>
  </sheetViews>
  <sheetFormatPr defaultColWidth="11.42578125" defaultRowHeight="12.75" x14ac:dyDescent="0.2"/>
  <cols>
    <col min="1" max="1" width="45.42578125" style="16" customWidth="1"/>
    <col min="2" max="7" width="14.85546875" style="16" customWidth="1"/>
    <col min="8" max="8" width="33" style="16" customWidth="1"/>
    <col min="9" max="9" width="16" style="16" customWidth="1"/>
    <col min="10" max="10" width="15.5703125" style="16" bestFit="1" customWidth="1"/>
    <col min="11" max="11" width="11.42578125" style="16"/>
    <col min="12" max="12" width="29" style="16" customWidth="1"/>
    <col min="13" max="16384" width="11.42578125" style="16"/>
  </cols>
  <sheetData>
    <row r="1" spans="1:15" x14ac:dyDescent="0.2">
      <c r="A1" s="1" t="s">
        <v>43</v>
      </c>
      <c r="B1"/>
      <c r="C1"/>
      <c r="D1"/>
      <c r="E1" s="2">
        <f>InfoInicial!E1</f>
        <v>1</v>
      </c>
    </row>
    <row r="3" spans="1:15" ht="15.75" x14ac:dyDescent="0.25">
      <c r="A3" s="17" t="s">
        <v>44</v>
      </c>
      <c r="B3" s="340" t="s">
        <v>45</v>
      </c>
      <c r="C3" s="340"/>
      <c r="D3" s="341" t="s">
        <v>46</v>
      </c>
      <c r="E3" s="341"/>
      <c r="H3" s="242" t="s">
        <v>407</v>
      </c>
      <c r="I3" s="242" t="s">
        <v>389</v>
      </c>
      <c r="J3" s="242" t="s">
        <v>390</v>
      </c>
      <c r="L3" s="242" t="s">
        <v>414</v>
      </c>
      <c r="M3" s="242" t="s">
        <v>389</v>
      </c>
      <c r="N3" s="242" t="s">
        <v>458</v>
      </c>
      <c r="O3" s="242" t="s">
        <v>464</v>
      </c>
    </row>
    <row r="4" spans="1:15" ht="15.75" x14ac:dyDescent="0.25">
      <c r="A4" s="20"/>
      <c r="B4" s="21" t="s">
        <v>47</v>
      </c>
      <c r="C4" s="21" t="s">
        <v>48</v>
      </c>
      <c r="D4" s="21" t="s">
        <v>47</v>
      </c>
      <c r="E4" s="22" t="s">
        <v>48</v>
      </c>
      <c r="H4" s="241" t="s">
        <v>406</v>
      </c>
      <c r="I4" s="242">
        <v>11118</v>
      </c>
      <c r="J4" s="242" t="s">
        <v>408</v>
      </c>
      <c r="L4" s="16" t="s">
        <v>415</v>
      </c>
      <c r="M4" s="243">
        <v>1900</v>
      </c>
      <c r="N4" s="243" t="s">
        <v>459</v>
      </c>
      <c r="O4" s="16">
        <v>21</v>
      </c>
    </row>
    <row r="5" spans="1:15" x14ac:dyDescent="0.2">
      <c r="A5" s="252"/>
      <c r="B5" s="248"/>
      <c r="C5" s="248"/>
      <c r="D5" s="248"/>
      <c r="E5" s="248"/>
      <c r="H5" s="16" t="s">
        <v>409</v>
      </c>
      <c r="I5" s="242">
        <v>7000</v>
      </c>
      <c r="J5" s="242" t="s">
        <v>408</v>
      </c>
      <c r="L5" s="16" t="s">
        <v>416</v>
      </c>
      <c r="M5" s="243">
        <v>400</v>
      </c>
      <c r="N5" s="243" t="s">
        <v>459</v>
      </c>
      <c r="O5" s="16">
        <v>60</v>
      </c>
    </row>
    <row r="6" spans="1:15" x14ac:dyDescent="0.2">
      <c r="A6" s="24" t="s">
        <v>49</v>
      </c>
      <c r="B6" s="249"/>
      <c r="C6" s="249"/>
      <c r="D6" s="249"/>
      <c r="E6" s="249"/>
      <c r="H6" s="16" t="s">
        <v>412</v>
      </c>
      <c r="I6" s="242">
        <v>40000</v>
      </c>
      <c r="J6" s="242" t="s">
        <v>408</v>
      </c>
      <c r="L6" s="16" t="s">
        <v>417</v>
      </c>
      <c r="M6" s="243">
        <v>2000</v>
      </c>
      <c r="N6" s="243" t="s">
        <v>459</v>
      </c>
      <c r="O6" s="16">
        <v>29</v>
      </c>
    </row>
    <row r="7" spans="1:15" x14ac:dyDescent="0.2">
      <c r="A7" s="26" t="s">
        <v>50</v>
      </c>
      <c r="B7" s="27">
        <f>1*I5+6000</f>
        <v>13000</v>
      </c>
      <c r="C7" s="27"/>
      <c r="D7" s="27"/>
      <c r="E7" s="27"/>
      <c r="I7" s="242"/>
      <c r="J7" s="242"/>
      <c r="L7" s="16" t="s">
        <v>418</v>
      </c>
      <c r="M7" s="243">
        <v>1200</v>
      </c>
      <c r="N7" s="243" t="s">
        <v>459</v>
      </c>
      <c r="O7" s="16">
        <v>6</v>
      </c>
    </row>
    <row r="8" spans="1:15" x14ac:dyDescent="0.2">
      <c r="A8" s="26" t="s">
        <v>51</v>
      </c>
      <c r="B8" s="27">
        <f>InfoInicial!B27*'E-Inv AF y Am'!I4</f>
        <v>17788800</v>
      </c>
      <c r="C8" s="27"/>
      <c r="D8" s="27"/>
      <c r="E8" s="27"/>
      <c r="H8" s="242" t="s">
        <v>385</v>
      </c>
      <c r="I8" s="242" t="s">
        <v>389</v>
      </c>
      <c r="J8" s="242" t="s">
        <v>390</v>
      </c>
      <c r="L8" s="244" t="s">
        <v>419</v>
      </c>
      <c r="M8" s="243">
        <v>3500</v>
      </c>
      <c r="N8" s="243" t="s">
        <v>459</v>
      </c>
      <c r="O8" s="16">
        <v>16</v>
      </c>
    </row>
    <row r="9" spans="1:15" x14ac:dyDescent="0.2">
      <c r="A9" s="26" t="s">
        <v>52</v>
      </c>
      <c r="B9" s="27">
        <f>I19</f>
        <v>700000</v>
      </c>
      <c r="C9" s="27"/>
      <c r="D9" s="27"/>
      <c r="E9" s="27"/>
      <c r="H9" s="16" t="s">
        <v>391</v>
      </c>
      <c r="I9" s="242">
        <v>400000</v>
      </c>
      <c r="J9" s="242" t="s">
        <v>410</v>
      </c>
      <c r="L9" s="16" t="s">
        <v>420</v>
      </c>
      <c r="M9" s="243">
        <v>1000</v>
      </c>
      <c r="N9" s="243" t="s">
        <v>459</v>
      </c>
      <c r="O9" s="16">
        <v>5</v>
      </c>
    </row>
    <row r="10" spans="1:15" x14ac:dyDescent="0.2">
      <c r="A10" s="26" t="s">
        <v>53</v>
      </c>
      <c r="B10" s="246"/>
      <c r="C10" s="246"/>
      <c r="D10" s="247"/>
      <c r="E10" s="246"/>
      <c r="H10" s="16" t="s">
        <v>392</v>
      </c>
      <c r="I10" s="242">
        <v>23000</v>
      </c>
      <c r="J10" s="242" t="s">
        <v>408</v>
      </c>
      <c r="L10" s="16" t="s">
        <v>421</v>
      </c>
      <c r="M10" s="243">
        <v>150</v>
      </c>
      <c r="N10" s="243" t="s">
        <v>459</v>
      </c>
      <c r="O10" s="16">
        <v>3</v>
      </c>
    </row>
    <row r="11" spans="1:15" x14ac:dyDescent="0.2">
      <c r="A11" s="26" t="s">
        <v>54</v>
      </c>
      <c r="B11" s="27"/>
      <c r="D11" s="27">
        <f>(I9+I11+I14+I15+I20+I26+I27)*1.07*InfoInicial!B32</f>
        <v>13349105.999999998</v>
      </c>
      <c r="E11" s="27"/>
      <c r="H11" s="16" t="s">
        <v>393</v>
      </c>
      <c r="I11" s="242">
        <v>90000</v>
      </c>
      <c r="J11" s="242" t="s">
        <v>410</v>
      </c>
      <c r="L11" s="16" t="s">
        <v>422</v>
      </c>
      <c r="M11" s="243">
        <v>10000</v>
      </c>
      <c r="N11" s="243" t="s">
        <v>459</v>
      </c>
      <c r="O11" s="16">
        <v>1</v>
      </c>
    </row>
    <row r="12" spans="1:15" x14ac:dyDescent="0.2">
      <c r="A12" s="26" t="s">
        <v>55</v>
      </c>
      <c r="B12" s="27">
        <f>I10+I12+I13+I16+I17+I18+I19+I21+I22+I23+I24+I25+I28+I29+I30</f>
        <v>1961800</v>
      </c>
      <c r="C12" s="27"/>
      <c r="D12" s="27"/>
      <c r="E12" s="27"/>
      <c r="H12" s="16" t="s">
        <v>394</v>
      </c>
      <c r="I12" s="242">
        <v>250000</v>
      </c>
      <c r="J12" s="242" t="s">
        <v>408</v>
      </c>
      <c r="L12" s="16" t="s">
        <v>423</v>
      </c>
      <c r="M12" s="243">
        <v>1900</v>
      </c>
      <c r="N12" s="243" t="s">
        <v>459</v>
      </c>
      <c r="O12" s="16">
        <v>2</v>
      </c>
    </row>
    <row r="13" spans="1:15" x14ac:dyDescent="0.2">
      <c r="A13" s="28" t="s">
        <v>56</v>
      </c>
      <c r="B13" s="27">
        <f>D11*0.2</f>
        <v>2669821.1999999997</v>
      </c>
      <c r="C13" s="27"/>
      <c r="D13" s="27"/>
      <c r="E13" s="27"/>
      <c r="H13" s="16" t="s">
        <v>395</v>
      </c>
      <c r="I13" s="242">
        <v>300000</v>
      </c>
      <c r="J13" s="242" t="s">
        <v>408</v>
      </c>
      <c r="L13" s="16" t="s">
        <v>424</v>
      </c>
      <c r="M13" s="243">
        <v>800</v>
      </c>
      <c r="N13" s="243" t="s">
        <v>459</v>
      </c>
      <c r="O13" s="16">
        <v>2</v>
      </c>
    </row>
    <row r="14" spans="1:15" x14ac:dyDescent="0.2">
      <c r="A14" s="26" t="s">
        <v>57</v>
      </c>
      <c r="B14" s="27">
        <f>3*I6+0.03*B12</f>
        <v>178854</v>
      </c>
      <c r="C14" s="27"/>
      <c r="D14" s="27">
        <f>D11*0.05</f>
        <v>667455.29999999993</v>
      </c>
      <c r="E14" s="27"/>
      <c r="H14" s="16" t="s">
        <v>396</v>
      </c>
      <c r="I14" s="242">
        <v>100000</v>
      </c>
      <c r="J14" s="242" t="s">
        <v>410</v>
      </c>
      <c r="L14" s="16" t="s">
        <v>425</v>
      </c>
      <c r="M14" s="243">
        <v>800</v>
      </c>
      <c r="N14" s="243" t="s">
        <v>459</v>
      </c>
      <c r="O14" s="16">
        <v>4</v>
      </c>
    </row>
    <row r="15" spans="1:15" x14ac:dyDescent="0.2">
      <c r="A15" s="26" t="s">
        <v>58</v>
      </c>
      <c r="B15" s="27">
        <f>I30*2</f>
        <v>640000</v>
      </c>
      <c r="C15" s="27"/>
      <c r="D15" s="27"/>
      <c r="E15" s="27"/>
      <c r="H15" s="16" t="s">
        <v>386</v>
      </c>
      <c r="I15" s="242">
        <v>3000</v>
      </c>
      <c r="J15" s="242" t="s">
        <v>410</v>
      </c>
      <c r="L15" s="16" t="s">
        <v>426</v>
      </c>
      <c r="M15" s="243">
        <v>400</v>
      </c>
      <c r="N15" s="243" t="s">
        <v>459</v>
      </c>
      <c r="O15" s="16">
        <v>10</v>
      </c>
    </row>
    <row r="16" spans="1:15" x14ac:dyDescent="0.2">
      <c r="A16" s="26" t="s">
        <v>59</v>
      </c>
      <c r="B16" s="27">
        <f>M4*O4+M5*O5+M6*O6+M7*O7+M8*O8+M9*O9+M10*O10+M11*O11+M12*O12+M13*O13+M14*O14+M15*O15+M16*O16+M17*O17+M18*O18+M19*O19+M20*O20+M21*O21+M22*O22+M23*O23+M24*O24+M25*O25+M26*O26+M27*O27+M28*O28+M29*O29+M30*O30+M31*O31+M32*O32+M33*O33+M34*O34+M35*O35+M36*O36+M37*O37+M38*O38+M39*O39+M40*O40+M41*O41+M42*O42+M43*O43+M44*O44+M45*O45+M46*O46+M47*O47+M48*O48+M49*O49</f>
        <v>1307716</v>
      </c>
      <c r="C16" s="27"/>
      <c r="D16" s="27"/>
      <c r="E16" s="27"/>
      <c r="H16" s="16" t="s">
        <v>388</v>
      </c>
      <c r="I16" s="242">
        <v>65000</v>
      </c>
      <c r="J16" s="242" t="s">
        <v>408</v>
      </c>
      <c r="L16" s="16" t="s">
        <v>427</v>
      </c>
      <c r="M16" s="243">
        <v>500</v>
      </c>
      <c r="N16" s="243" t="s">
        <v>459</v>
      </c>
      <c r="O16" s="16">
        <v>5</v>
      </c>
    </row>
    <row r="17" spans="1:15" x14ac:dyDescent="0.2">
      <c r="A17" s="26" t="s">
        <v>60</v>
      </c>
      <c r="B17" s="27"/>
      <c r="C17" s="27"/>
      <c r="D17" s="27"/>
      <c r="E17" s="27"/>
      <c r="H17" s="16" t="s">
        <v>387</v>
      </c>
      <c r="I17" s="242">
        <v>9800</v>
      </c>
      <c r="J17" s="242" t="s">
        <v>408</v>
      </c>
      <c r="L17" s="16" t="s">
        <v>428</v>
      </c>
      <c r="M17" s="243">
        <v>8000</v>
      </c>
      <c r="N17" s="243" t="s">
        <v>459</v>
      </c>
      <c r="O17" s="16">
        <v>29</v>
      </c>
    </row>
    <row r="18" spans="1:15" x14ac:dyDescent="0.2">
      <c r="A18" s="26" t="s">
        <v>15</v>
      </c>
      <c r="B18" s="27">
        <f>InfoInicial!B15*('E-Inv AF y Am'!B7+'E-Inv AF y Am'!B8+'E-Inv AF y Am'!B9+'E-Inv AF y Am'!B12+'E-Inv AF y Am'!B13+'E-Inv AF y Am'!B14+'E-Inv AF y Am'!B15+'E-Inv AF y Am'!B16+'E-Inv AF y Am'!B17)</f>
        <v>1894499.3399999999</v>
      </c>
      <c r="C18" s="27"/>
      <c r="D18" s="27">
        <f>(D11+D14)*InfoInicial!B15</f>
        <v>1051242.0974999999</v>
      </c>
      <c r="E18" s="27"/>
      <c r="H18" s="16" t="s">
        <v>397</v>
      </c>
      <c r="I18" s="242">
        <v>25000</v>
      </c>
      <c r="J18" s="242" t="s">
        <v>408</v>
      </c>
      <c r="L18" s="16" t="s">
        <v>429</v>
      </c>
      <c r="M18" s="243">
        <v>600</v>
      </c>
      <c r="N18" s="243" t="s">
        <v>459</v>
      </c>
      <c r="O18" s="16">
        <v>1</v>
      </c>
    </row>
    <row r="19" spans="1:15" x14ac:dyDescent="0.2">
      <c r="A19" s="26"/>
      <c r="B19" s="27"/>
      <c r="C19" s="27"/>
      <c r="D19" s="27"/>
      <c r="E19" s="27"/>
      <c r="H19" s="16" t="s">
        <v>462</v>
      </c>
      <c r="I19" s="242">
        <v>700000</v>
      </c>
      <c r="J19" s="242" t="s">
        <v>408</v>
      </c>
      <c r="L19" s="16" t="s">
        <v>461</v>
      </c>
      <c r="M19" s="243">
        <v>70</v>
      </c>
      <c r="N19" s="243" t="s">
        <v>459</v>
      </c>
      <c r="O19" s="16">
        <v>118</v>
      </c>
    </row>
    <row r="20" spans="1:15" x14ac:dyDescent="0.2">
      <c r="A20" s="24" t="s">
        <v>61</v>
      </c>
      <c r="B20" s="27">
        <f>B7+B8+B9+B12+B13+B14+B15+B16+B18</f>
        <v>27154490.539999999</v>
      </c>
      <c r="C20" s="27"/>
      <c r="D20" s="27">
        <f>D11+D14+D18</f>
        <v>15067803.397499999</v>
      </c>
      <c r="E20" s="27"/>
      <c r="H20" s="16" t="s">
        <v>463</v>
      </c>
      <c r="I20" s="242">
        <v>120000</v>
      </c>
      <c r="J20" s="242" t="s">
        <v>410</v>
      </c>
      <c r="L20" s="16" t="s">
        <v>460</v>
      </c>
      <c r="M20" s="243">
        <v>300</v>
      </c>
      <c r="N20" s="243" t="s">
        <v>459</v>
      </c>
      <c r="O20" s="16">
        <v>118</v>
      </c>
    </row>
    <row r="21" spans="1:15" x14ac:dyDescent="0.2">
      <c r="A21" s="251"/>
      <c r="B21" s="250"/>
      <c r="C21" s="250"/>
      <c r="D21" s="250"/>
      <c r="E21" s="250"/>
      <c r="H21" s="16" t="s">
        <v>411</v>
      </c>
      <c r="I21" s="242">
        <v>6000</v>
      </c>
      <c r="J21" s="242" t="s">
        <v>408</v>
      </c>
      <c r="L21" s="16" t="s">
        <v>430</v>
      </c>
      <c r="M21" s="243">
        <v>2500</v>
      </c>
      <c r="N21" s="243" t="s">
        <v>459</v>
      </c>
      <c r="O21" s="16">
        <v>7</v>
      </c>
    </row>
    <row r="22" spans="1:15" x14ac:dyDescent="0.2">
      <c r="A22" s="24" t="s">
        <v>62</v>
      </c>
      <c r="B22" s="29"/>
      <c r="C22" s="29"/>
      <c r="D22" s="29"/>
      <c r="E22" s="29"/>
      <c r="H22" s="16" t="s">
        <v>398</v>
      </c>
      <c r="I22" s="242">
        <v>100000</v>
      </c>
      <c r="J22" s="242" t="s">
        <v>408</v>
      </c>
      <c r="L22" s="16" t="s">
        <v>431</v>
      </c>
      <c r="M22" s="243">
        <v>500</v>
      </c>
      <c r="N22" s="243" t="s">
        <v>459</v>
      </c>
      <c r="O22" s="16">
        <v>5</v>
      </c>
    </row>
    <row r="23" spans="1:15" x14ac:dyDescent="0.2">
      <c r="A23" s="26" t="s">
        <v>63</v>
      </c>
      <c r="B23" s="27">
        <v>100000</v>
      </c>
      <c r="C23" s="27"/>
      <c r="D23" s="27"/>
      <c r="E23" s="27"/>
      <c r="H23" s="16" t="s">
        <v>399</v>
      </c>
      <c r="I23" s="242">
        <v>55000</v>
      </c>
      <c r="J23" s="242" t="s">
        <v>408</v>
      </c>
      <c r="L23" s="16" t="s">
        <v>432</v>
      </c>
      <c r="M23" s="243">
        <v>300</v>
      </c>
      <c r="N23" s="243" t="s">
        <v>459</v>
      </c>
      <c r="O23" s="16">
        <v>2</v>
      </c>
    </row>
    <row r="24" spans="1:15" x14ac:dyDescent="0.2">
      <c r="A24" s="26" t="s">
        <v>64</v>
      </c>
      <c r="B24" s="27">
        <v>125000</v>
      </c>
      <c r="C24" s="27"/>
      <c r="D24" s="27"/>
      <c r="E24" s="27"/>
      <c r="H24" s="16" t="s">
        <v>400</v>
      </c>
      <c r="I24" s="242">
        <v>3000</v>
      </c>
      <c r="J24" s="242" t="s">
        <v>408</v>
      </c>
      <c r="L24" s="16" t="s">
        <v>433</v>
      </c>
      <c r="M24" s="243">
        <v>6000</v>
      </c>
      <c r="N24" s="243" t="s">
        <v>459</v>
      </c>
      <c r="O24" s="16">
        <v>19</v>
      </c>
    </row>
    <row r="25" spans="1:15" x14ac:dyDescent="0.2">
      <c r="A25" s="26" t="s">
        <v>65</v>
      </c>
      <c r="B25" s="27">
        <v>1000000</v>
      </c>
      <c r="C25" s="27"/>
      <c r="D25" s="27"/>
      <c r="E25" s="27"/>
      <c r="H25" s="16" t="s">
        <v>401</v>
      </c>
      <c r="I25" s="242">
        <v>15000</v>
      </c>
      <c r="J25" s="242" t="s">
        <v>408</v>
      </c>
      <c r="L25" s="16" t="s">
        <v>434</v>
      </c>
      <c r="M25" s="243">
        <v>1500</v>
      </c>
      <c r="N25" s="243" t="s">
        <v>459</v>
      </c>
      <c r="O25" s="16">
        <v>1</v>
      </c>
    </row>
    <row r="26" spans="1:15" x14ac:dyDescent="0.2">
      <c r="A26" s="28" t="s">
        <v>66</v>
      </c>
      <c r="B26" s="27">
        <v>0</v>
      </c>
      <c r="C26" s="27">
        <f>'E-Costos'!B41</f>
        <v>2792028.4590802034</v>
      </c>
      <c r="D26" s="27"/>
      <c r="E26" s="27"/>
      <c r="H26" s="16" t="s">
        <v>402</v>
      </c>
      <c r="I26" s="242">
        <v>2100</v>
      </c>
      <c r="J26" s="242" t="s">
        <v>410</v>
      </c>
      <c r="L26" s="16" t="s">
        <v>435</v>
      </c>
      <c r="M26" s="243">
        <v>12000</v>
      </c>
      <c r="N26" s="243" t="s">
        <v>459</v>
      </c>
      <c r="O26" s="16">
        <v>4</v>
      </c>
    </row>
    <row r="27" spans="1:15" x14ac:dyDescent="0.2">
      <c r="A27" s="28" t="s">
        <v>67</v>
      </c>
      <c r="B27" s="27">
        <v>0</v>
      </c>
      <c r="C27" s="27"/>
      <c r="D27" s="27"/>
      <c r="E27" s="27"/>
      <c r="H27" s="16" t="s">
        <v>403</v>
      </c>
      <c r="I27" s="242">
        <v>1900</v>
      </c>
      <c r="J27" s="242" t="s">
        <v>410</v>
      </c>
      <c r="L27" s="16" t="s">
        <v>436</v>
      </c>
      <c r="M27" s="243">
        <v>250000</v>
      </c>
      <c r="N27" s="243" t="s">
        <v>459</v>
      </c>
      <c r="O27" s="16">
        <v>1</v>
      </c>
    </row>
    <row r="28" spans="1:15" x14ac:dyDescent="0.2">
      <c r="A28" s="28" t="s">
        <v>68</v>
      </c>
      <c r="B28" s="27">
        <v>0</v>
      </c>
      <c r="C28" s="27"/>
      <c r="D28" s="27"/>
      <c r="E28" s="27"/>
      <c r="H28" s="16" t="s">
        <v>404</v>
      </c>
      <c r="I28" s="242">
        <v>50000</v>
      </c>
      <c r="J28" s="242" t="s">
        <v>408</v>
      </c>
      <c r="L28" s="16" t="s">
        <v>437</v>
      </c>
      <c r="M28" s="243">
        <v>2500</v>
      </c>
      <c r="N28" s="243" t="s">
        <v>459</v>
      </c>
      <c r="O28" s="16">
        <v>2</v>
      </c>
    </row>
    <row r="29" spans="1:15" x14ac:dyDescent="0.2">
      <c r="A29" s="26" t="s">
        <v>15</v>
      </c>
      <c r="B29" s="27">
        <f>0.075*(B23+B24+B25+B26+B27+B28)</f>
        <v>91875</v>
      </c>
      <c r="C29" s="27"/>
      <c r="D29" s="27"/>
      <c r="E29" s="27"/>
      <c r="H29" s="16" t="s">
        <v>405</v>
      </c>
      <c r="I29" s="242">
        <v>40000</v>
      </c>
      <c r="J29" s="242" t="s">
        <v>408</v>
      </c>
      <c r="L29" s="16" t="s">
        <v>438</v>
      </c>
      <c r="M29" s="243">
        <v>11000</v>
      </c>
      <c r="N29" s="243" t="s">
        <v>459</v>
      </c>
      <c r="O29" s="16">
        <v>1</v>
      </c>
    </row>
    <row r="30" spans="1:15" x14ac:dyDescent="0.2">
      <c r="A30" s="251"/>
      <c r="B30" s="246"/>
      <c r="C30" s="246"/>
      <c r="D30" s="246"/>
      <c r="E30" s="246"/>
      <c r="H30" s="16" t="s">
        <v>413</v>
      </c>
      <c r="I30" s="242">
        <v>320000</v>
      </c>
      <c r="J30" s="242" t="s">
        <v>408</v>
      </c>
      <c r="L30" s="16" t="s">
        <v>439</v>
      </c>
      <c r="M30" s="243">
        <v>7</v>
      </c>
      <c r="N30" s="243" t="s">
        <v>459</v>
      </c>
      <c r="O30" s="16">
        <v>10</v>
      </c>
    </row>
    <row r="31" spans="1:15" x14ac:dyDescent="0.2">
      <c r="A31" s="24" t="s">
        <v>69</v>
      </c>
      <c r="B31" s="27">
        <f>B29+B28+B27+B26+B25+B24+B23</f>
        <v>1316875</v>
      </c>
      <c r="C31" s="27">
        <f>C29+C28+C27+C26+C25+C24+C23</f>
        <v>2792028.4590802034</v>
      </c>
      <c r="D31" s="27">
        <f>D29+D28+D27+D26+D25+D24+D23</f>
        <v>0</v>
      </c>
      <c r="E31" s="27"/>
      <c r="L31" s="16" t="s">
        <v>440</v>
      </c>
      <c r="M31" s="243">
        <v>9</v>
      </c>
      <c r="N31" s="243" t="s">
        <v>459</v>
      </c>
      <c r="O31" s="16">
        <v>54</v>
      </c>
    </row>
    <row r="32" spans="1:15" x14ac:dyDescent="0.2">
      <c r="A32" s="251"/>
      <c r="B32" s="250"/>
      <c r="C32" s="250"/>
      <c r="D32" s="250"/>
      <c r="E32" s="250"/>
      <c r="L32" s="16" t="s">
        <v>441</v>
      </c>
      <c r="M32" s="243">
        <v>6000</v>
      </c>
      <c r="N32" s="243" t="s">
        <v>459</v>
      </c>
      <c r="O32" s="16">
        <v>1</v>
      </c>
    </row>
    <row r="33" spans="1:15" x14ac:dyDescent="0.2">
      <c r="A33" s="24" t="s">
        <v>70</v>
      </c>
      <c r="B33" s="27">
        <f>B31+B20</f>
        <v>28471365.539999999</v>
      </c>
      <c r="C33" s="27"/>
      <c r="D33" s="27">
        <f>D31+D20</f>
        <v>15067803.397499999</v>
      </c>
      <c r="E33" s="27"/>
      <c r="L33" s="16" t="s">
        <v>442</v>
      </c>
      <c r="M33" s="243">
        <v>6000</v>
      </c>
      <c r="N33" s="243" t="s">
        <v>459</v>
      </c>
      <c r="O33" s="16">
        <v>1</v>
      </c>
    </row>
    <row r="34" spans="1:15" x14ac:dyDescent="0.2">
      <c r="A34" s="24" t="s">
        <v>71</v>
      </c>
      <c r="B34" s="27">
        <f>B33*InfoInicial!B3</f>
        <v>5978986.7633999996</v>
      </c>
      <c r="C34" s="27"/>
      <c r="D34" s="27">
        <f>D33*InfoInicial!B3</f>
        <v>3164238.7134749996</v>
      </c>
      <c r="E34" s="27"/>
      <c r="L34" s="16" t="s">
        <v>443</v>
      </c>
      <c r="M34" s="243">
        <v>20000</v>
      </c>
      <c r="N34" s="243" t="s">
        <v>459</v>
      </c>
      <c r="O34" s="16">
        <v>1</v>
      </c>
    </row>
    <row r="35" spans="1:15" x14ac:dyDescent="0.2">
      <c r="A35" s="251"/>
      <c r="B35" s="250"/>
      <c r="C35" s="250"/>
      <c r="D35" s="250"/>
      <c r="E35" s="250"/>
      <c r="H35" s="254">
        <f>B33+D33</f>
        <v>43539168.9375</v>
      </c>
      <c r="L35" s="16" t="s">
        <v>444</v>
      </c>
      <c r="M35" s="243">
        <v>17000</v>
      </c>
      <c r="N35" s="243" t="s">
        <v>459</v>
      </c>
      <c r="O35" s="16">
        <v>1</v>
      </c>
    </row>
    <row r="36" spans="1:15" x14ac:dyDescent="0.2">
      <c r="A36" s="30" t="s">
        <v>72</v>
      </c>
      <c r="B36" s="31">
        <f>B34+B33</f>
        <v>34450352.303399995</v>
      </c>
      <c r="C36" s="31"/>
      <c r="D36" s="31">
        <f>D34+D33</f>
        <v>18232042.110974997</v>
      </c>
      <c r="E36" s="31"/>
      <c r="L36" s="16" t="s">
        <v>445</v>
      </c>
      <c r="M36" s="243">
        <v>300</v>
      </c>
      <c r="N36" s="243" t="s">
        <v>459</v>
      </c>
      <c r="O36" s="16">
        <v>5</v>
      </c>
    </row>
    <row r="37" spans="1:15" x14ac:dyDescent="0.2">
      <c r="L37" s="16" t="s">
        <v>449</v>
      </c>
      <c r="M37" s="243">
        <v>500</v>
      </c>
      <c r="N37" s="243" t="s">
        <v>459</v>
      </c>
      <c r="O37" s="16">
        <v>31</v>
      </c>
    </row>
    <row r="38" spans="1:15" x14ac:dyDescent="0.2">
      <c r="L38" s="16" t="s">
        <v>446</v>
      </c>
      <c r="M38" s="243">
        <v>300</v>
      </c>
      <c r="N38" s="243" t="s">
        <v>459</v>
      </c>
      <c r="O38" s="16">
        <v>10</v>
      </c>
    </row>
    <row r="39" spans="1:15" x14ac:dyDescent="0.2">
      <c r="A39" s="32" t="s">
        <v>73</v>
      </c>
      <c r="B39" s="18" t="s">
        <v>74</v>
      </c>
      <c r="C39" s="18" t="s">
        <v>75</v>
      </c>
      <c r="D39" s="340" t="s">
        <v>76</v>
      </c>
      <c r="E39" s="340"/>
      <c r="F39" s="340"/>
      <c r="G39" s="33" t="s">
        <v>77</v>
      </c>
      <c r="L39" s="16" t="s">
        <v>447</v>
      </c>
      <c r="M39" s="243">
        <v>1500</v>
      </c>
      <c r="N39" s="243" t="s">
        <v>459</v>
      </c>
      <c r="O39" s="16">
        <v>31</v>
      </c>
    </row>
    <row r="40" spans="1:15" x14ac:dyDescent="0.2">
      <c r="A40" s="34"/>
      <c r="B40" s="21" t="s">
        <v>78</v>
      </c>
      <c r="C40" s="21"/>
      <c r="D40" s="21" t="s">
        <v>79</v>
      </c>
      <c r="E40" s="21" t="s">
        <v>80</v>
      </c>
      <c r="F40" s="21"/>
      <c r="G40" s="35"/>
      <c r="L40" s="16" t="s">
        <v>448</v>
      </c>
      <c r="M40" s="243">
        <v>300</v>
      </c>
      <c r="N40" s="243" t="s">
        <v>459</v>
      </c>
      <c r="O40" s="16">
        <v>31</v>
      </c>
    </row>
    <row r="41" spans="1:15" x14ac:dyDescent="0.2">
      <c r="A41" s="36" t="s">
        <v>81</v>
      </c>
      <c r="B41" s="37"/>
      <c r="C41" s="37"/>
      <c r="D41" s="37"/>
      <c r="E41" s="37"/>
      <c r="F41" s="38"/>
      <c r="G41" s="39"/>
      <c r="L41" s="16" t="s">
        <v>450</v>
      </c>
      <c r="M41" s="243">
        <v>1200</v>
      </c>
      <c r="N41" s="243" t="s">
        <v>459</v>
      </c>
      <c r="O41" s="16">
        <v>1</v>
      </c>
    </row>
    <row r="42" spans="1:15" x14ac:dyDescent="0.2">
      <c r="A42" s="40"/>
      <c r="B42" s="41"/>
      <c r="C42" s="41"/>
      <c r="D42" s="41"/>
      <c r="E42" s="41"/>
      <c r="F42" s="42"/>
      <c r="G42" s="43"/>
      <c r="L42" s="16" t="s">
        <v>451</v>
      </c>
      <c r="M42" s="243">
        <v>220000</v>
      </c>
      <c r="N42" s="243" t="s">
        <v>459</v>
      </c>
      <c r="O42" s="16">
        <v>1</v>
      </c>
    </row>
    <row r="43" spans="1:15" x14ac:dyDescent="0.2">
      <c r="A43" s="26" t="s">
        <v>50</v>
      </c>
      <c r="B43" s="27">
        <f>B7</f>
        <v>13000</v>
      </c>
      <c r="C43" s="27"/>
      <c r="D43" s="27"/>
      <c r="E43" s="27"/>
      <c r="F43" s="27"/>
      <c r="G43" s="44">
        <f>B43</f>
        <v>13000</v>
      </c>
      <c r="L43" s="16" t="s">
        <v>452</v>
      </c>
      <c r="M43" s="243">
        <v>250</v>
      </c>
      <c r="N43" s="243" t="s">
        <v>459</v>
      </c>
      <c r="O43" s="16">
        <v>7</v>
      </c>
    </row>
    <row r="44" spans="1:15" x14ac:dyDescent="0.2">
      <c r="A44" s="26" t="s">
        <v>51</v>
      </c>
      <c r="B44" s="27">
        <f>B8</f>
        <v>17788800</v>
      </c>
      <c r="C44" s="27">
        <f>1/InfoInicial!B8</f>
        <v>3.3333333333333333E-2</v>
      </c>
      <c r="D44" s="27">
        <f t="shared" ref="D44:D50" si="0">C44*B44</f>
        <v>592960</v>
      </c>
      <c r="E44" s="27">
        <f>C44*B44</f>
        <v>592960</v>
      </c>
      <c r="F44" s="27"/>
      <c r="G44" s="44">
        <f>B44-E44*5</f>
        <v>14824000</v>
      </c>
      <c r="L44" s="16" t="s">
        <v>453</v>
      </c>
      <c r="M44" s="243">
        <v>100</v>
      </c>
      <c r="N44" s="243" t="s">
        <v>459</v>
      </c>
      <c r="O44" s="16">
        <v>4</v>
      </c>
    </row>
    <row r="45" spans="1:15" x14ac:dyDescent="0.2">
      <c r="A45" s="26" t="s">
        <v>52</v>
      </c>
      <c r="B45" s="27">
        <f>B9</f>
        <v>700000</v>
      </c>
      <c r="C45" s="27">
        <f>1/InfoInicial!B9</f>
        <v>0.1</v>
      </c>
      <c r="D45" s="27">
        <f t="shared" si="0"/>
        <v>70000</v>
      </c>
      <c r="E45" s="27">
        <f>C45*B45</f>
        <v>70000</v>
      </c>
      <c r="F45" s="27"/>
      <c r="G45" s="44">
        <f>B45-E45*5</f>
        <v>350000</v>
      </c>
      <c r="L45" s="16" t="s">
        <v>454</v>
      </c>
      <c r="M45" s="243">
        <v>2000</v>
      </c>
      <c r="N45" s="243" t="s">
        <v>459</v>
      </c>
      <c r="O45" s="16">
        <v>1</v>
      </c>
    </row>
    <row r="46" spans="1:15" x14ac:dyDescent="0.2">
      <c r="A46" s="28" t="s">
        <v>53</v>
      </c>
      <c r="B46" s="27">
        <f>D11/1.07+B12+B13+B14+D14</f>
        <v>17953730.5</v>
      </c>
      <c r="C46" s="27">
        <f>1/InfoInicial!B10</f>
        <v>0.1</v>
      </c>
      <c r="D46" s="27">
        <f t="shared" si="0"/>
        <v>1795373.05</v>
      </c>
      <c r="E46" s="27">
        <f>C46*B46</f>
        <v>1795373.05</v>
      </c>
      <c r="F46" s="27"/>
      <c r="G46" s="44">
        <f>B46-5*E46</f>
        <v>8976865.25</v>
      </c>
      <c r="L46" s="16" t="s">
        <v>455</v>
      </c>
      <c r="M46" s="243">
        <v>3000</v>
      </c>
      <c r="N46" s="243" t="s">
        <v>459</v>
      </c>
      <c r="O46" s="16">
        <v>1</v>
      </c>
    </row>
    <row r="47" spans="1:15" x14ac:dyDescent="0.2">
      <c r="A47" s="28" t="s">
        <v>58</v>
      </c>
      <c r="B47" s="253">
        <f>B15</f>
        <v>640000</v>
      </c>
      <c r="C47" s="27">
        <f>1/InfoInicial!B11</f>
        <v>0.2</v>
      </c>
      <c r="D47" s="27">
        <f t="shared" si="0"/>
        <v>128000</v>
      </c>
      <c r="E47" s="27">
        <f>D47</f>
        <v>128000</v>
      </c>
      <c r="F47" s="27"/>
      <c r="G47" s="44"/>
      <c r="L47" s="16" t="s">
        <v>456</v>
      </c>
      <c r="M47" s="243">
        <v>2000</v>
      </c>
      <c r="N47" s="243" t="s">
        <v>459</v>
      </c>
      <c r="O47" s="16">
        <v>1</v>
      </c>
    </row>
    <row r="48" spans="1:15" x14ac:dyDescent="0.2">
      <c r="A48" s="28" t="s">
        <v>59</v>
      </c>
      <c r="B48" s="27">
        <f>B16</f>
        <v>1307716</v>
      </c>
      <c r="C48" s="27">
        <f>1/InfoInicial!B12</f>
        <v>0.2</v>
      </c>
      <c r="D48" s="27">
        <f t="shared" si="0"/>
        <v>261543.2</v>
      </c>
      <c r="E48" s="27">
        <f>D48</f>
        <v>261543.2</v>
      </c>
      <c r="F48" s="27"/>
      <c r="G48" s="44"/>
      <c r="L48" s="16" t="s">
        <v>457</v>
      </c>
      <c r="M48" s="243">
        <v>500</v>
      </c>
      <c r="N48" s="243" t="s">
        <v>459</v>
      </c>
      <c r="O48" s="16">
        <v>4</v>
      </c>
    </row>
    <row r="49" spans="1:15" x14ac:dyDescent="0.2">
      <c r="A49" s="28" t="s">
        <v>15</v>
      </c>
      <c r="B49" s="27">
        <f>B18+D18</f>
        <v>2945741.4375</v>
      </c>
      <c r="C49" s="27">
        <f>1/5</f>
        <v>0.2</v>
      </c>
      <c r="D49" s="27">
        <f t="shared" si="0"/>
        <v>589148.28749999998</v>
      </c>
      <c r="E49" s="27">
        <f>D49</f>
        <v>589148.28749999998</v>
      </c>
      <c r="F49" s="27"/>
      <c r="G49" s="44"/>
      <c r="L49" s="16" t="s">
        <v>465</v>
      </c>
      <c r="M49" s="243">
        <v>8000</v>
      </c>
      <c r="N49" s="243" t="s">
        <v>459</v>
      </c>
      <c r="O49" s="16">
        <v>1</v>
      </c>
    </row>
    <row r="50" spans="1:15" x14ac:dyDescent="0.2">
      <c r="A50" s="28" t="s">
        <v>82</v>
      </c>
      <c r="B50" s="27">
        <f>D11/1.07*0.07</f>
        <v>873306</v>
      </c>
      <c r="C50" s="27">
        <f>1/InfoInicial!B13</f>
        <v>0.33333333333333331</v>
      </c>
      <c r="D50" s="27">
        <f t="shared" si="0"/>
        <v>291102</v>
      </c>
      <c r="E50" s="27"/>
      <c r="F50" s="27"/>
      <c r="G50" s="44"/>
    </row>
    <row r="51" spans="1:15" x14ac:dyDescent="0.2">
      <c r="A51" s="45" t="s">
        <v>83</v>
      </c>
      <c r="B51" s="27">
        <f>B43+B44+B45+B46+B47+B48+B49+B50</f>
        <v>42222293.9375</v>
      </c>
      <c r="C51" s="27"/>
      <c r="D51" s="27">
        <f>D50+D49+D48+D47+D46+D45+D44</f>
        <v>3728126.5375000001</v>
      </c>
      <c r="E51" s="27">
        <f>E49+E48+E47+E46+E45+E44</f>
        <v>3437024.5375000001</v>
      </c>
      <c r="F51" s="27">
        <v>0</v>
      </c>
      <c r="G51" s="44">
        <f>G50+G49+G48+G47+G46+G45+G44+G43</f>
        <v>24163865.25</v>
      </c>
      <c r="I51" s="254"/>
    </row>
    <row r="52" spans="1:15" x14ac:dyDescent="0.2">
      <c r="A52" s="24"/>
      <c r="B52" s="46"/>
      <c r="C52" s="47"/>
      <c r="D52" s="48"/>
      <c r="E52" s="48"/>
      <c r="F52" s="48"/>
      <c r="G52" s="49"/>
      <c r="I52" s="254">
        <f>B33+D33-B56</f>
        <v>-2792028.4590802044</v>
      </c>
    </row>
    <row r="53" spans="1:15" x14ac:dyDescent="0.2">
      <c r="A53" s="45" t="s">
        <v>84</v>
      </c>
      <c r="B53" s="27">
        <f>B31+C31</f>
        <v>4108903.4590802034</v>
      </c>
      <c r="C53" s="27">
        <f>1/InfoInicial!B14</f>
        <v>0.2</v>
      </c>
      <c r="D53" s="27">
        <f>C53*B53</f>
        <v>821780.69181604078</v>
      </c>
      <c r="E53" s="27">
        <f>D53</f>
        <v>821780.69181604078</v>
      </c>
      <c r="F53" s="27"/>
      <c r="G53" s="44"/>
    </row>
    <row r="54" spans="1:15" x14ac:dyDescent="0.2">
      <c r="A54" s="45"/>
      <c r="B54" s="27"/>
      <c r="C54" s="27"/>
      <c r="D54" s="27"/>
      <c r="E54" s="27"/>
      <c r="F54" s="27"/>
      <c r="G54" s="44"/>
      <c r="I54" s="254"/>
      <c r="J54" s="255"/>
    </row>
    <row r="55" spans="1:15" x14ac:dyDescent="0.2">
      <c r="A55" s="24"/>
      <c r="B55" s="25"/>
      <c r="C55" s="25"/>
      <c r="D55" s="50"/>
      <c r="E55" s="51"/>
      <c r="F55" s="51"/>
      <c r="G55" s="52"/>
      <c r="H55" s="53"/>
      <c r="I55" s="255"/>
      <c r="J55" s="254"/>
    </row>
    <row r="56" spans="1:15" x14ac:dyDescent="0.2">
      <c r="A56" s="30" t="s">
        <v>85</v>
      </c>
      <c r="B56" s="31">
        <f>B53+B51</f>
        <v>46331197.396580204</v>
      </c>
      <c r="C56" s="31"/>
      <c r="D56" s="31">
        <f>D51+D53</f>
        <v>4549907.2293160409</v>
      </c>
      <c r="E56" s="31">
        <f>E53+E51</f>
        <v>4258805.2293160409</v>
      </c>
      <c r="F56" s="31">
        <f>F53+F51</f>
        <v>0</v>
      </c>
      <c r="G56" s="54">
        <f>G53+G51</f>
        <v>24163865.25</v>
      </c>
      <c r="H56" s="55"/>
      <c r="I56" s="55"/>
    </row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135"/>
  <sheetViews>
    <sheetView tabSelected="1" topLeftCell="A94" workbookViewId="0">
      <selection activeCell="J129" sqref="J129"/>
    </sheetView>
  </sheetViews>
  <sheetFormatPr defaultColWidth="11.42578125" defaultRowHeight="12.75" x14ac:dyDescent="0.2"/>
  <cols>
    <col min="1" max="1" width="41" style="16" customWidth="1"/>
    <col min="2" max="2" width="16.28515625" style="16" customWidth="1"/>
    <col min="3" max="3" width="15.7109375" style="16" customWidth="1"/>
    <col min="4" max="4" width="16.42578125" style="16" customWidth="1"/>
    <col min="5" max="5" width="16.140625" style="16" customWidth="1"/>
    <col min="6" max="6" width="16.85546875" style="16" customWidth="1"/>
    <col min="7" max="7" width="17.42578125" style="16" customWidth="1"/>
    <col min="8" max="8" width="14" style="16" bestFit="1" customWidth="1"/>
    <col min="9" max="9" width="11.42578125" style="16"/>
    <col min="10" max="10" width="14.28515625" style="16" customWidth="1"/>
    <col min="11" max="11" width="12.5703125" style="16" customWidth="1"/>
    <col min="12" max="12" width="11.42578125" style="16"/>
    <col min="13" max="13" width="13.85546875" style="16" customWidth="1"/>
    <col min="14" max="14" width="14.5703125" style="16" customWidth="1"/>
    <col min="15" max="15" width="16.7109375" style="16" customWidth="1"/>
    <col min="16" max="16" width="13.42578125" style="16" customWidth="1"/>
    <col min="17" max="17" width="24.5703125" style="16" customWidth="1"/>
    <col min="18" max="18" width="16.5703125" style="16" customWidth="1"/>
    <col min="19" max="21" width="11.42578125" style="16"/>
    <col min="22" max="22" width="7.5703125" style="16" customWidth="1"/>
    <col min="23" max="23" width="15.85546875" style="16" customWidth="1"/>
    <col min="24" max="16384" width="11.42578125" style="16"/>
  </cols>
  <sheetData>
    <row r="3" spans="1:20" ht="13.5" thickBot="1" x14ac:dyDescent="0.25">
      <c r="A3" s="1" t="s">
        <v>0</v>
      </c>
      <c r="B3"/>
      <c r="C3"/>
      <c r="D3"/>
      <c r="E3" s="2">
        <f>InfoInicial!E1</f>
        <v>1</v>
      </c>
    </row>
    <row r="4" spans="1:20" ht="16.5" thickTop="1" x14ac:dyDescent="0.25">
      <c r="A4" s="56" t="s">
        <v>86</v>
      </c>
      <c r="B4" s="57"/>
      <c r="C4" s="57"/>
      <c r="D4" s="57"/>
      <c r="E4" s="57"/>
      <c r="F4" s="58"/>
      <c r="J4" s="284" t="s">
        <v>214</v>
      </c>
      <c r="K4" s="285" t="s">
        <v>389</v>
      </c>
      <c r="L4" s="286" t="s">
        <v>390</v>
      </c>
    </row>
    <row r="5" spans="1:20" x14ac:dyDescent="0.2">
      <c r="A5" s="59"/>
      <c r="B5" s="60" t="s">
        <v>87</v>
      </c>
      <c r="C5" s="60"/>
      <c r="D5" s="60"/>
      <c r="E5" s="60"/>
      <c r="F5" s="61"/>
      <c r="J5" s="290" t="s">
        <v>466</v>
      </c>
      <c r="K5" s="261">
        <v>0.32829999999999998</v>
      </c>
      <c r="L5" s="291" t="s">
        <v>473</v>
      </c>
    </row>
    <row r="6" spans="1:20" ht="13.5" thickBot="1" x14ac:dyDescent="0.25">
      <c r="A6" s="59" t="s">
        <v>88</v>
      </c>
      <c r="B6" s="21" t="s">
        <v>48</v>
      </c>
      <c r="C6" s="21" t="s">
        <v>89</v>
      </c>
      <c r="D6" s="21" t="s">
        <v>90</v>
      </c>
      <c r="E6" s="21" t="s">
        <v>91</v>
      </c>
      <c r="F6" s="22" t="s">
        <v>92</v>
      </c>
      <c r="J6" s="290" t="s">
        <v>467</v>
      </c>
      <c r="K6" s="261">
        <v>0.4</v>
      </c>
      <c r="L6" s="291" t="s">
        <v>474</v>
      </c>
    </row>
    <row r="7" spans="1:20" ht="14.25" thickTop="1" thickBot="1" x14ac:dyDescent="0.25">
      <c r="A7" s="23" t="s">
        <v>93</v>
      </c>
      <c r="B7" s="62">
        <f>4224467.22*K5+72379.63*K6*InfoInicial!B32+4251318.79*2*40*K7</f>
        <v>7672448.3675259994</v>
      </c>
      <c r="C7" s="62">
        <f>5414607*K5+107209.22*K6*InfoInicial!B32+K7*5414607*2*40</f>
        <v>9887657.1693000011</v>
      </c>
      <c r="D7" s="62">
        <f>C7</f>
        <v>9887657.1693000011</v>
      </c>
      <c r="E7" s="62">
        <f>C7</f>
        <v>9887657.1693000011</v>
      </c>
      <c r="F7" s="62">
        <f>C7</f>
        <v>9887657.1693000011</v>
      </c>
      <c r="J7" s="287" t="s">
        <v>468</v>
      </c>
      <c r="K7" s="288">
        <v>1.7000000000000001E-2</v>
      </c>
      <c r="L7" s="289" t="s">
        <v>520</v>
      </c>
    </row>
    <row r="8" spans="1:20" ht="13.5" thickBot="1" x14ac:dyDescent="0.25">
      <c r="A8" s="26" t="s">
        <v>94</v>
      </c>
      <c r="B8" s="64">
        <f>K10*N10*1.65*0.92*L10</f>
        <v>12066278.4</v>
      </c>
      <c r="C8" s="64">
        <f>K10*N10*(1+N9)*L10</f>
        <v>13115520</v>
      </c>
      <c r="D8" s="64">
        <f>K10*N10*(1+N9)*L10</f>
        <v>13115520</v>
      </c>
      <c r="E8" s="64">
        <f>D8</f>
        <v>13115520</v>
      </c>
      <c r="F8" s="64">
        <f>D8</f>
        <v>13115520</v>
      </c>
    </row>
    <row r="9" spans="1:20" x14ac:dyDescent="0.2">
      <c r="A9" s="26" t="s">
        <v>95</v>
      </c>
      <c r="B9" s="257"/>
      <c r="C9" s="257"/>
      <c r="D9" s="257"/>
      <c r="E9" s="257"/>
      <c r="F9" s="258"/>
      <c r="J9" s="284" t="s">
        <v>469</v>
      </c>
      <c r="K9" s="285" t="s">
        <v>476</v>
      </c>
      <c r="L9" s="286" t="s">
        <v>464</v>
      </c>
      <c r="M9" s="16" t="s">
        <v>472</v>
      </c>
      <c r="N9" s="266">
        <v>0.65</v>
      </c>
    </row>
    <row r="10" spans="1:20" ht="13.5" thickBot="1" x14ac:dyDescent="0.25">
      <c r="A10" s="26" t="s">
        <v>96</v>
      </c>
      <c r="B10" s="64">
        <f>('E-Inv AF y Am'!D49+'E-Inv AF y Am'!D48+'E-Inv AF y Am'!D47+'E-Inv AF y Am'!D46+'E-Inv AF y Am'!D45+'E-Inv AF y Am'!D44+'E-Inv AF y Am'!D53)*0.9+'E-Inv AF y Am'!D50</f>
        <v>4124026.7063844367</v>
      </c>
      <c r="C10" s="64">
        <f>B10</f>
        <v>4124026.7063844367</v>
      </c>
      <c r="D10" s="64">
        <f>B10</f>
        <v>4124026.7063844367</v>
      </c>
      <c r="E10" s="64">
        <f>'E-Inv AF y Am'!E56*0.9</f>
        <v>3832924.7063844367</v>
      </c>
      <c r="F10" s="65">
        <f>E10</f>
        <v>3832924.7063844367</v>
      </c>
      <c r="J10" s="287" t="s">
        <v>470</v>
      </c>
      <c r="K10" s="288">
        <v>150</v>
      </c>
      <c r="L10" s="289">
        <v>23</v>
      </c>
      <c r="M10" s="16" t="s">
        <v>477</v>
      </c>
      <c r="N10" s="259">
        <v>2304</v>
      </c>
    </row>
    <row r="11" spans="1:20" x14ac:dyDescent="0.2">
      <c r="A11" s="26" t="s">
        <v>97</v>
      </c>
      <c r="B11" s="64">
        <f>C11*N27</f>
        <v>5695542</v>
      </c>
      <c r="C11" s="64">
        <f>O15+O16+O17+O18+O19+O20+O21+O22+M25*N25*L25*K10*2</f>
        <v>6546600</v>
      </c>
      <c r="D11" s="64">
        <f>C11</f>
        <v>6546600</v>
      </c>
      <c r="E11" s="64">
        <f>C11</f>
        <v>6546600</v>
      </c>
      <c r="F11" s="65">
        <f>C11</f>
        <v>6546600</v>
      </c>
    </row>
    <row r="12" spans="1:20" x14ac:dyDescent="0.2">
      <c r="A12" s="26" t="s">
        <v>98</v>
      </c>
      <c r="B12" s="64">
        <f>C12*N27</f>
        <v>913960.94084915984</v>
      </c>
      <c r="C12" s="64">
        <f>L30*('E-Inv AF y Am'!B51-'E-Inv AF y Am'!B50)*M12+L31*'E-Inv AF y Am'!B46+L31*'E-Inv AF y Am'!B46*'E-Costos'!N31*'E-Costos'!O31+'E-Costos'!C7*'E-Costos'!L32+('E-Costos'!C11+'E-Costos'!C8)*'E-Costos'!L33</f>
        <v>1050529.8170679999</v>
      </c>
      <c r="D12" s="64">
        <f>C12</f>
        <v>1050529.8170679999</v>
      </c>
      <c r="E12" s="64">
        <f>C12</f>
        <v>1050529.8170679999</v>
      </c>
      <c r="F12" s="65">
        <f>C12</f>
        <v>1050529.8170679999</v>
      </c>
      <c r="J12" s="350" t="s">
        <v>584</v>
      </c>
      <c r="K12" s="350"/>
      <c r="L12" s="350"/>
      <c r="M12" s="266">
        <v>0.9</v>
      </c>
    </row>
    <row r="13" spans="1:20" ht="13.5" thickBot="1" x14ac:dyDescent="0.25">
      <c r="A13" s="26" t="s">
        <v>99</v>
      </c>
      <c r="B13" s="64">
        <f>C13*O36</f>
        <v>404470.4731144</v>
      </c>
      <c r="C13" s="64">
        <f>(L36*Q36*4*6/1000*8*K36+N36)*11.5+R36*K36*16/1000</f>
        <v>425758.39275200001</v>
      </c>
      <c r="D13" s="64">
        <f>C13</f>
        <v>425758.39275200001</v>
      </c>
      <c r="E13" s="64">
        <f>C13</f>
        <v>425758.39275200001</v>
      </c>
      <c r="F13" s="65">
        <f>C13</f>
        <v>425758.39275200001</v>
      </c>
      <c r="R13" s="242" t="s">
        <v>466</v>
      </c>
      <c r="S13" s="242" t="s">
        <v>535</v>
      </c>
      <c r="T13" s="242" t="s">
        <v>536</v>
      </c>
    </row>
    <row r="14" spans="1:20" x14ac:dyDescent="0.2">
      <c r="A14" s="26" t="s">
        <v>100</v>
      </c>
      <c r="B14" s="64">
        <f>C14*O37</f>
        <v>39599.5625</v>
      </c>
      <c r="C14" s="64">
        <f>K40*L40+K41*L41+N37*12+K37*L37*11.5</f>
        <v>41683.75</v>
      </c>
      <c r="D14" s="64">
        <f>C14</f>
        <v>41683.75</v>
      </c>
      <c r="E14" s="64">
        <f>C14</f>
        <v>41683.75</v>
      </c>
      <c r="F14" s="65">
        <f>C14</f>
        <v>41683.75</v>
      </c>
      <c r="J14" s="344" t="s">
        <v>471</v>
      </c>
      <c r="K14" s="345"/>
      <c r="L14" s="276" t="s">
        <v>487</v>
      </c>
      <c r="M14" s="276" t="s">
        <v>472</v>
      </c>
      <c r="N14" s="276" t="s">
        <v>75</v>
      </c>
      <c r="O14" s="277" t="s">
        <v>486</v>
      </c>
      <c r="Q14" s="16" t="s">
        <v>524</v>
      </c>
      <c r="R14" s="242">
        <f>Q45/P41</f>
        <v>0.52629714909056835</v>
      </c>
      <c r="S14" s="242">
        <f>P41/Q46</f>
        <v>2.3750841177079842E-2</v>
      </c>
      <c r="T14" s="242">
        <f>Q47/P41</f>
        <v>1.05117150455999E-2</v>
      </c>
    </row>
    <row r="15" spans="1:20" x14ac:dyDescent="0.2">
      <c r="A15" s="26" t="s">
        <v>101</v>
      </c>
      <c r="B15" s="64">
        <f>C15</f>
        <v>256825.91999999998</v>
      </c>
      <c r="C15" s="64">
        <f>('E-Inv AF y Am'!B43+'E-Inv AF y Am'!B44)*L44*M44+('E-Inv AF y Am'!B43+'E-Inv AF y Am'!B44)*L45*M45+L47*2*M46*L46</f>
        <v>256825.91999999998</v>
      </c>
      <c r="D15" s="64">
        <f>C15</f>
        <v>256825.91999999998</v>
      </c>
      <c r="E15" s="64">
        <f>C15</f>
        <v>256825.91999999998</v>
      </c>
      <c r="F15" s="65">
        <f>C15</f>
        <v>256825.91999999998</v>
      </c>
      <c r="J15" s="346" t="s">
        <v>478</v>
      </c>
      <c r="K15" s="347"/>
      <c r="L15" s="278">
        <v>100000</v>
      </c>
      <c r="M15" s="278">
        <v>0.5</v>
      </c>
      <c r="N15" s="278">
        <v>0.3</v>
      </c>
      <c r="O15" s="279">
        <f>L15*(1+M15)*N15*13</f>
        <v>585000</v>
      </c>
    </row>
    <row r="16" spans="1:20" x14ac:dyDescent="0.2">
      <c r="A16" s="26" t="s">
        <v>15</v>
      </c>
      <c r="B16" s="64">
        <f>(B7+B8+B10+B11+B12+B13+B14+B15)*K49</f>
        <v>623463.04740747996</v>
      </c>
      <c r="C16" s="64">
        <f>(C7+C8+C10+C11+C12+C13+C14+C15)*K49</f>
        <v>708972.03511008888</v>
      </c>
      <c r="D16" s="64">
        <f>(D7+D8+D10+D11+D12+D13+D14+D15)*K49</f>
        <v>708972.03511008888</v>
      </c>
      <c r="E16" s="64">
        <f>(E7+E8+E10+E11+E12+E13+E14+E15)*K49</f>
        <v>703149.99511008873</v>
      </c>
      <c r="F16" s="64">
        <f>(F7+F8+F10+F11+F12+F13+F14+F15)*K49</f>
        <v>703149.99511008873</v>
      </c>
      <c r="H16" s="254"/>
      <c r="J16" s="346" t="s">
        <v>479</v>
      </c>
      <c r="K16" s="347"/>
      <c r="L16" s="278">
        <v>60000</v>
      </c>
      <c r="M16" s="278">
        <v>0.6</v>
      </c>
      <c r="N16" s="278">
        <v>0.7</v>
      </c>
      <c r="O16" s="279">
        <f>L16*(1+M16)*N16*13</f>
        <v>873600</v>
      </c>
      <c r="R16" s="243" t="s">
        <v>466</v>
      </c>
      <c r="S16" s="243" t="s">
        <v>468</v>
      </c>
      <c r="T16" s="243" t="s">
        <v>536</v>
      </c>
    </row>
    <row r="17" spans="1:20" x14ac:dyDescent="0.2">
      <c r="A17" s="24" t="s">
        <v>102</v>
      </c>
      <c r="B17" s="263">
        <f>B7+B8+B10+B11+B12+B13+B14+B15+B16</f>
        <v>31796615.41778148</v>
      </c>
      <c r="C17" s="263">
        <f t="shared" ref="C17:F17" si="0">C7+C8+C10+C11+C12+C13+C14+C15+C16</f>
        <v>36157573.79061453</v>
      </c>
      <c r="D17" s="263">
        <f t="shared" si="0"/>
        <v>36157573.79061453</v>
      </c>
      <c r="E17" s="263">
        <f t="shared" si="0"/>
        <v>35860649.750614524</v>
      </c>
      <c r="F17" s="263">
        <f t="shared" si="0"/>
        <v>35860649.750614524</v>
      </c>
      <c r="J17" s="346" t="s">
        <v>480</v>
      </c>
      <c r="K17" s="347"/>
      <c r="L17" s="278">
        <v>65000</v>
      </c>
      <c r="M17" s="278">
        <v>0.5</v>
      </c>
      <c r="N17" s="278">
        <v>1</v>
      </c>
      <c r="O17" s="279">
        <f t="shared" ref="O17:O22" si="1">L17*(1+M17)*N17*13</f>
        <v>1267500</v>
      </c>
      <c r="Q17" s="16" t="s">
        <v>537</v>
      </c>
      <c r="R17" s="242">
        <f>R29*R14</f>
        <v>313558.36807947699</v>
      </c>
      <c r="S17" s="242">
        <f>S14*R29</f>
        <v>14150.323658162983</v>
      </c>
      <c r="T17" s="242">
        <f>T14*R29</f>
        <v>6262.6906132976001</v>
      </c>
    </row>
    <row r="18" spans="1:20" x14ac:dyDescent="0.2">
      <c r="A18" s="66"/>
      <c r="B18" s="67"/>
      <c r="C18" s="67"/>
      <c r="D18" s="67"/>
      <c r="E18" s="67"/>
      <c r="F18" s="68"/>
      <c r="J18" s="346" t="s">
        <v>481</v>
      </c>
      <c r="K18" s="347"/>
      <c r="L18" s="278">
        <v>65000</v>
      </c>
      <c r="M18" s="278">
        <v>0.6</v>
      </c>
      <c r="N18" s="278">
        <v>1</v>
      </c>
      <c r="O18" s="279">
        <f t="shared" si="1"/>
        <v>1352000</v>
      </c>
    </row>
    <row r="19" spans="1:20" x14ac:dyDescent="0.2">
      <c r="A19" s="69" t="s">
        <v>103</v>
      </c>
      <c r="B19" s="265">
        <f>(B10+B11+B12+B13+B14+B15+B16)/B17</f>
        <v>0.37921924996810819</v>
      </c>
      <c r="C19" s="265">
        <f t="shared" ref="C19:F19" si="2">(C10+C11+C12+C13+C14+C15+C16)/C17</f>
        <v>0.36380750261316008</v>
      </c>
      <c r="D19" s="265">
        <f t="shared" si="2"/>
        <v>0.36380750261316008</v>
      </c>
      <c r="E19" s="265">
        <f t="shared" si="2"/>
        <v>0.3585398666987118</v>
      </c>
      <c r="F19" s="265">
        <f t="shared" si="2"/>
        <v>0.3585398666987118</v>
      </c>
      <c r="J19" s="346" t="s">
        <v>482</v>
      </c>
      <c r="K19" s="347"/>
      <c r="L19" s="278">
        <v>30000</v>
      </c>
      <c r="M19" s="278">
        <v>0.5</v>
      </c>
      <c r="N19" s="278">
        <v>0.5</v>
      </c>
      <c r="O19" s="279">
        <f t="shared" si="1"/>
        <v>292500</v>
      </c>
    </row>
    <row r="20" spans="1:20" ht="13.5" thickBot="1" x14ac:dyDescent="0.25">
      <c r="A20" s="34" t="s">
        <v>104</v>
      </c>
      <c r="B20" s="264">
        <f>(B7+B8)/B17</f>
        <v>0.62078075003189181</v>
      </c>
      <c r="C20" s="264">
        <f t="shared" ref="C20:F20" si="3">(C7+C8)/C17</f>
        <v>0.63619249738683981</v>
      </c>
      <c r="D20" s="264">
        <f t="shared" si="3"/>
        <v>0.63619249738683981</v>
      </c>
      <c r="E20" s="264">
        <f t="shared" si="3"/>
        <v>0.64146013330128826</v>
      </c>
      <c r="F20" s="264">
        <f t="shared" si="3"/>
        <v>0.64146013330128826</v>
      </c>
      <c r="J20" s="346" t="s">
        <v>483</v>
      </c>
      <c r="K20" s="347"/>
      <c r="L20" s="278">
        <v>50000</v>
      </c>
      <c r="M20" s="278">
        <v>0.6</v>
      </c>
      <c r="N20" s="278">
        <v>1</v>
      </c>
      <c r="O20" s="279">
        <f t="shared" si="1"/>
        <v>1040000</v>
      </c>
    </row>
    <row r="21" spans="1:20" ht="14.25" thickTop="1" thickBot="1" x14ac:dyDescent="0.25">
      <c r="J21" s="346" t="s">
        <v>484</v>
      </c>
      <c r="K21" s="347"/>
      <c r="L21" s="278">
        <v>30000</v>
      </c>
      <c r="M21" s="278">
        <v>0.6</v>
      </c>
      <c r="N21" s="278">
        <v>1</v>
      </c>
      <c r="O21" s="279">
        <f t="shared" si="1"/>
        <v>624000</v>
      </c>
    </row>
    <row r="22" spans="1:20" ht="14.25" thickTop="1" thickBot="1" x14ac:dyDescent="0.25">
      <c r="A22" s="72"/>
      <c r="B22" s="18" t="s">
        <v>105</v>
      </c>
      <c r="C22" s="18"/>
      <c r="D22" s="18"/>
      <c r="E22" s="18"/>
      <c r="F22" s="18"/>
      <c r="G22" s="19"/>
      <c r="J22" s="351" t="s">
        <v>485</v>
      </c>
      <c r="K22" s="352"/>
      <c r="L22" s="282">
        <v>20000</v>
      </c>
      <c r="M22" s="282">
        <v>0.6</v>
      </c>
      <c r="N22" s="282">
        <v>1</v>
      </c>
      <c r="O22" s="283">
        <f t="shared" si="1"/>
        <v>416000</v>
      </c>
    </row>
    <row r="23" spans="1:20" x14ac:dyDescent="0.2">
      <c r="A23" s="59"/>
      <c r="B23" s="60" t="s">
        <v>106</v>
      </c>
      <c r="C23" s="60"/>
      <c r="D23" s="60"/>
      <c r="E23" s="60"/>
      <c r="F23" s="60"/>
      <c r="G23" s="61" t="s">
        <v>107</v>
      </c>
    </row>
    <row r="24" spans="1:20" x14ac:dyDescent="0.2">
      <c r="A24" s="59" t="s">
        <v>88</v>
      </c>
      <c r="B24" s="73" t="s">
        <v>48</v>
      </c>
      <c r="C24" s="73" t="s">
        <v>89</v>
      </c>
      <c r="D24" s="73" t="s">
        <v>90</v>
      </c>
      <c r="E24" s="73" t="s">
        <v>91</v>
      </c>
      <c r="F24" s="73" t="s">
        <v>92</v>
      </c>
      <c r="G24" s="74" t="s">
        <v>48</v>
      </c>
      <c r="L24" s="242" t="s">
        <v>489</v>
      </c>
      <c r="M24" s="242" t="s">
        <v>475</v>
      </c>
      <c r="N24" s="242" t="s">
        <v>490</v>
      </c>
    </row>
    <row r="25" spans="1:20" x14ac:dyDescent="0.2">
      <c r="A25" s="23" t="s">
        <v>93</v>
      </c>
      <c r="B25" s="62">
        <f>S42*B7/P41</f>
        <v>19315.485775200996</v>
      </c>
      <c r="C25" s="62">
        <f>S42*C7/P42</f>
        <v>19004.054884877947</v>
      </c>
      <c r="D25" s="62">
        <f>D7*S42/P42</f>
        <v>19004.054884877947</v>
      </c>
      <c r="E25" s="62">
        <f>E7*S42/P42</f>
        <v>19004.054884877947</v>
      </c>
      <c r="F25" s="62">
        <f>F7*S42/P42</f>
        <v>19004.054884877947</v>
      </c>
      <c r="G25" s="62">
        <f>R17*K5+T17*K6*InfoInicial!B32+K7*R17*2*40</f>
        <v>572968.9194971323</v>
      </c>
      <c r="J25" s="353" t="s">
        <v>488</v>
      </c>
      <c r="K25" s="353"/>
      <c r="L25" s="242">
        <v>8</v>
      </c>
      <c r="M25" s="242">
        <v>20</v>
      </c>
      <c r="N25" s="242">
        <v>2</v>
      </c>
    </row>
    <row r="26" spans="1:20" x14ac:dyDescent="0.2">
      <c r="A26" s="26" t="s">
        <v>94</v>
      </c>
      <c r="B26" s="64">
        <f>S42*B8/P41</f>
        <v>30377.008437264692</v>
      </c>
      <c r="C26" s="64">
        <f>S42*C8/P42</f>
        <v>25208</v>
      </c>
      <c r="D26" s="64">
        <f>D8*S42/P42</f>
        <v>25208</v>
      </c>
      <c r="E26" s="64">
        <f>E8*S42/P42</f>
        <v>25208</v>
      </c>
      <c r="F26" s="64">
        <f>F8*S42/P42</f>
        <v>25208</v>
      </c>
      <c r="G26" s="64">
        <f>B8-(C8/P42)*P41-B26</f>
        <v>2022843.4390203618</v>
      </c>
    </row>
    <row r="27" spans="1:20" x14ac:dyDescent="0.2">
      <c r="A27" s="26" t="s">
        <v>95</v>
      </c>
      <c r="B27" s="268"/>
      <c r="C27" s="268"/>
      <c r="D27" s="268"/>
      <c r="E27" s="268"/>
      <c r="F27" s="268"/>
      <c r="G27" s="268"/>
      <c r="J27" s="245" t="s">
        <v>491</v>
      </c>
      <c r="K27" s="245"/>
      <c r="L27" s="245"/>
      <c r="N27" s="259">
        <v>0.87</v>
      </c>
    </row>
    <row r="28" spans="1:20" x14ac:dyDescent="0.2">
      <c r="A28" s="26" t="s">
        <v>96</v>
      </c>
      <c r="B28" s="64">
        <f>B10*S42/P41</f>
        <v>10382.289377256948</v>
      </c>
      <c r="C28" s="64">
        <f>C10*S42/P42</f>
        <v>7926.3700725963499</v>
      </c>
      <c r="D28" s="64">
        <f>D10*S42/P42</f>
        <v>7926.3700725963499</v>
      </c>
      <c r="E28" s="64">
        <f>E10*S42/P42</f>
        <v>7366.872682023959</v>
      </c>
      <c r="F28" s="64">
        <f>F10*S42/P42</f>
        <v>7366.872682023959</v>
      </c>
      <c r="G28" s="64">
        <v>0</v>
      </c>
    </row>
    <row r="29" spans="1:20" x14ac:dyDescent="0.2">
      <c r="A29" s="26" t="s">
        <v>97</v>
      </c>
      <c r="B29" s="62">
        <f>S42*B11/P41</f>
        <v>14338.598999074597</v>
      </c>
      <c r="C29" s="64">
        <f>C11*S42/P42</f>
        <v>12582.550505050505</v>
      </c>
      <c r="D29" s="64">
        <f>D11*S42/P42</f>
        <v>12582.550505050505</v>
      </c>
      <c r="E29" s="64">
        <f>E11*S42/P42</f>
        <v>12582.550505050505</v>
      </c>
      <c r="F29" s="64">
        <f>F11*S42/P42</f>
        <v>12582.550505050505</v>
      </c>
      <c r="G29" s="64">
        <v>0</v>
      </c>
      <c r="J29" s="16" t="s">
        <v>492</v>
      </c>
      <c r="Q29" s="16" t="s">
        <v>544</v>
      </c>
      <c r="R29" s="243">
        <v>595782</v>
      </c>
      <c r="S29" s="16" t="s">
        <v>545</v>
      </c>
    </row>
    <row r="30" spans="1:20" x14ac:dyDescent="0.2">
      <c r="A30" s="26" t="s">
        <v>98</v>
      </c>
      <c r="B30" s="64">
        <f>S42*B12/P41</f>
        <v>2300.9082246523753</v>
      </c>
      <c r="C30" s="64">
        <f>C12*S42/P42</f>
        <v>2019.115950313075</v>
      </c>
      <c r="D30" s="64">
        <f>D12*S42/P42</f>
        <v>2019.115950313075</v>
      </c>
      <c r="E30" s="64">
        <f>E12*S42/P42</f>
        <v>2019.115950313075</v>
      </c>
      <c r="F30" s="64">
        <f>F12*S42/P42</f>
        <v>2019.115950313075</v>
      </c>
      <c r="G30" s="64">
        <f>B12-(C12/P42)*P41-(C12/P42)*S42</f>
        <v>109913.69797931783</v>
      </c>
      <c r="K30" s="16" t="s">
        <v>493</v>
      </c>
      <c r="L30" s="256">
        <v>0.01</v>
      </c>
      <c r="M30" s="16" t="s">
        <v>496</v>
      </c>
      <c r="N30" s="16" t="s">
        <v>498</v>
      </c>
      <c r="O30" s="16" t="s">
        <v>499</v>
      </c>
    </row>
    <row r="31" spans="1:20" x14ac:dyDescent="0.2">
      <c r="A31" s="26" t="s">
        <v>108</v>
      </c>
      <c r="B31" s="62">
        <f>S42*B13/P41</f>
        <v>1018.2595301647085</v>
      </c>
      <c r="C31" s="64">
        <f>C13*S42/P42</f>
        <v>818.30667518271594</v>
      </c>
      <c r="D31" s="64">
        <f>D13*S42/P42</f>
        <v>818.30667518271594</v>
      </c>
      <c r="E31" s="64">
        <f>E13*S42/P42</f>
        <v>818.30667518271594</v>
      </c>
      <c r="F31" s="64">
        <f>F13*S42/P42</f>
        <v>818.30667518271594</v>
      </c>
      <c r="G31" s="64">
        <f>B13-(C13/P42)*P41-(C13/P42)*S42</f>
        <v>78606.460252419289</v>
      </c>
      <c r="K31" s="16" t="s">
        <v>494</v>
      </c>
      <c r="L31" s="256">
        <v>0.01</v>
      </c>
      <c r="M31" s="16" t="s">
        <v>497</v>
      </c>
      <c r="N31" s="260">
        <v>0.15</v>
      </c>
      <c r="O31" s="260">
        <v>0.25</v>
      </c>
    </row>
    <row r="32" spans="1:20" x14ac:dyDescent="0.2">
      <c r="A32" s="26" t="s">
        <v>109</v>
      </c>
      <c r="B32" s="64">
        <f>S42*B14/P41</f>
        <v>99.69239928812604</v>
      </c>
      <c r="C32" s="64">
        <f>C14*S42/P42</f>
        <v>80.11607393378226</v>
      </c>
      <c r="D32" s="64">
        <f>D14*S42/P42</f>
        <v>80.11607393378226</v>
      </c>
      <c r="E32" s="64">
        <f>E14*S42/P42</f>
        <v>80.11607393378226</v>
      </c>
      <c r="F32" s="64">
        <f>F14*S42/P42</f>
        <v>80.11607393378226</v>
      </c>
      <c r="G32" s="64">
        <f>B14-(C14/P42)*P41-(C14/P42)*S42</f>
        <v>7695.9423309721469</v>
      </c>
      <c r="K32" s="16" t="s">
        <v>495</v>
      </c>
      <c r="L32" s="256">
        <v>0.01</v>
      </c>
    </row>
    <row r="33" spans="1:19" x14ac:dyDescent="0.2">
      <c r="A33" s="26" t="s">
        <v>110</v>
      </c>
      <c r="B33" s="27">
        <f>S42*B15/P41</f>
        <v>646.562500890769</v>
      </c>
      <c r="C33" s="64">
        <f>C15*S42/P42</f>
        <v>493.61884175084174</v>
      </c>
      <c r="D33" s="64">
        <f>D15*S42/P42</f>
        <v>493.61884175084174</v>
      </c>
      <c r="E33" s="64">
        <f>E15*S42/P42</f>
        <v>493.61884175084174</v>
      </c>
      <c r="F33" s="64">
        <f>F15*S42/P42</f>
        <v>493.61884175084174</v>
      </c>
      <c r="G33" s="64">
        <v>0</v>
      </c>
      <c r="K33" s="16" t="s">
        <v>126</v>
      </c>
      <c r="L33" s="256">
        <v>0.02</v>
      </c>
    </row>
    <row r="34" spans="1:19" ht="13.5" thickBot="1" x14ac:dyDescent="0.25">
      <c r="A34" s="26" t="s">
        <v>111</v>
      </c>
      <c r="B34" s="64">
        <f>B16*S42/P41</f>
        <v>1569.5761048758643</v>
      </c>
      <c r="C34" s="64">
        <f>C16*S42/P42</f>
        <v>1362.6426600741047</v>
      </c>
      <c r="D34" s="64">
        <f>D16*S42/P42</f>
        <v>1362.6426600741047</v>
      </c>
      <c r="E34" s="64">
        <f>E16*S42/P42</f>
        <v>1351.4527122626566</v>
      </c>
      <c r="F34" s="64">
        <f>F16*S42/P42</f>
        <v>1351.4527122626566</v>
      </c>
      <c r="G34" s="64">
        <v>0</v>
      </c>
    </row>
    <row r="35" spans="1:19" ht="13.5" thickBot="1" x14ac:dyDescent="0.25">
      <c r="A35" s="34" t="s">
        <v>112</v>
      </c>
      <c r="B35" s="62">
        <f>B25+B26+B27+B28+B29+B30+B31+B32+B34+B33</f>
        <v>80048.381348669063</v>
      </c>
      <c r="C35" s="64">
        <f>C17*S42/P42</f>
        <v>69494.775663779335</v>
      </c>
      <c r="D35" s="64">
        <f>D17*S42/P42</f>
        <v>69494.775663779335</v>
      </c>
      <c r="E35" s="64">
        <f>E17*S42/P42</f>
        <v>68924.088325395482</v>
      </c>
      <c r="F35" s="64">
        <f>F17*S42/P42</f>
        <v>68924.088325395482</v>
      </c>
      <c r="G35" s="64">
        <f>G25+G26+G28+G29+G30+G31+G32+G33+G34</f>
        <v>2792028.4590802034</v>
      </c>
      <c r="J35" s="301" t="s">
        <v>500</v>
      </c>
      <c r="K35" s="292" t="s">
        <v>389</v>
      </c>
      <c r="L35" s="292" t="s">
        <v>502</v>
      </c>
      <c r="M35" s="292" t="s">
        <v>503</v>
      </c>
      <c r="N35" s="292" t="s">
        <v>506</v>
      </c>
      <c r="O35" s="345" t="s">
        <v>507</v>
      </c>
      <c r="P35" s="345"/>
      <c r="Q35" s="292" t="s">
        <v>508</v>
      </c>
      <c r="R35" s="286" t="s">
        <v>509</v>
      </c>
    </row>
    <row r="36" spans="1:19" ht="14.25" thickTop="1" thickBot="1" x14ac:dyDescent="0.25">
      <c r="A36" s="75"/>
      <c r="B36" s="76"/>
      <c r="C36" s="76"/>
      <c r="D36" s="76"/>
      <c r="E36" s="76"/>
      <c r="F36" s="76"/>
      <c r="G36" s="76"/>
      <c r="J36" s="290" t="s">
        <v>121</v>
      </c>
      <c r="K36" s="273">
        <v>2.7</v>
      </c>
      <c r="L36" s="305">
        <v>84458</v>
      </c>
      <c r="M36" s="273" t="s">
        <v>504</v>
      </c>
      <c r="N36" s="273">
        <v>56.9</v>
      </c>
      <c r="O36" s="354">
        <v>0.95</v>
      </c>
      <c r="P36" s="355"/>
      <c r="Q36" s="303">
        <v>0.84</v>
      </c>
      <c r="R36" s="298">
        <v>50000</v>
      </c>
    </row>
    <row r="37" spans="1:19" ht="14.25" thickTop="1" thickBot="1" x14ac:dyDescent="0.25">
      <c r="A37" s="36"/>
      <c r="B37" s="77" t="s">
        <v>113</v>
      </c>
      <c r="C37" s="77"/>
      <c r="D37" s="77"/>
      <c r="E37" s="77"/>
      <c r="F37" s="78"/>
      <c r="J37" s="287" t="s">
        <v>501</v>
      </c>
      <c r="K37" s="302">
        <v>2.67</v>
      </c>
      <c r="L37" s="302">
        <v>30</v>
      </c>
      <c r="M37" s="302" t="s">
        <v>505</v>
      </c>
      <c r="N37" s="302">
        <v>623.54999999999995</v>
      </c>
      <c r="O37" s="348">
        <v>0.95</v>
      </c>
      <c r="P37" s="349"/>
      <c r="Q37" s="304">
        <v>1</v>
      </c>
      <c r="R37" s="289"/>
    </row>
    <row r="38" spans="1:19" ht="13.5" thickBot="1" x14ac:dyDescent="0.25">
      <c r="A38" s="34"/>
      <c r="B38" s="73" t="s">
        <v>48</v>
      </c>
      <c r="C38" s="73" t="s">
        <v>89</v>
      </c>
      <c r="D38" s="73" t="s">
        <v>90</v>
      </c>
      <c r="E38" s="73" t="s">
        <v>91</v>
      </c>
      <c r="F38" s="22" t="s">
        <v>92</v>
      </c>
      <c r="G38" s="76"/>
    </row>
    <row r="39" spans="1:19" ht="13.5" thickTop="1" x14ac:dyDescent="0.2">
      <c r="A39" s="40" t="s">
        <v>102</v>
      </c>
      <c r="B39" s="62">
        <f>B17</f>
        <v>31796615.41778148</v>
      </c>
      <c r="C39" s="62">
        <f>C17</f>
        <v>36157573.79061453</v>
      </c>
      <c r="D39" s="62">
        <f>D17</f>
        <v>36157573.79061453</v>
      </c>
      <c r="E39" s="62">
        <f>E17</f>
        <v>35860649.750614524</v>
      </c>
      <c r="F39" s="63">
        <f>F17</f>
        <v>35860649.750614524</v>
      </c>
      <c r="G39" s="76"/>
      <c r="J39" s="296" t="s">
        <v>122</v>
      </c>
      <c r="K39" s="276" t="s">
        <v>512</v>
      </c>
      <c r="L39" s="277" t="s">
        <v>389</v>
      </c>
    </row>
    <row r="40" spans="1:19" x14ac:dyDescent="0.2">
      <c r="A40" s="26" t="s">
        <v>114</v>
      </c>
      <c r="B40" s="270"/>
      <c r="C40" s="270"/>
      <c r="D40" s="270"/>
      <c r="E40" s="270"/>
      <c r="F40" s="269"/>
      <c r="G40" s="76"/>
      <c r="J40" s="290" t="s">
        <v>510</v>
      </c>
      <c r="K40" s="297">
        <v>22000</v>
      </c>
      <c r="L40" s="298">
        <v>1.24</v>
      </c>
      <c r="P40" s="272" t="s">
        <v>525</v>
      </c>
    </row>
    <row r="41" spans="1:19" ht="13.5" thickBot="1" x14ac:dyDescent="0.25">
      <c r="A41" s="26" t="s">
        <v>115</v>
      </c>
      <c r="B41" s="64">
        <f>G35</f>
        <v>2792028.4590802034</v>
      </c>
      <c r="C41" s="64"/>
      <c r="D41" s="64"/>
      <c r="E41" s="64"/>
      <c r="F41" s="44"/>
      <c r="G41" s="76"/>
      <c r="J41" s="287" t="s">
        <v>511</v>
      </c>
      <c r="K41" s="299">
        <v>1000</v>
      </c>
      <c r="L41" s="300">
        <v>6</v>
      </c>
      <c r="O41" s="16" t="s">
        <v>522</v>
      </c>
      <c r="P41" s="262">
        <v>8026772</v>
      </c>
    </row>
    <row r="42" spans="1:19" ht="13.5" thickBot="1" x14ac:dyDescent="0.25">
      <c r="A42" s="26" t="s">
        <v>116</v>
      </c>
      <c r="B42" s="64">
        <f>B35</f>
        <v>80048.381348669063</v>
      </c>
      <c r="C42" s="64">
        <f>B35-C35</f>
        <v>10553.605684889728</v>
      </c>
      <c r="D42" s="64">
        <f>C35-D35</f>
        <v>0</v>
      </c>
      <c r="E42" s="64">
        <f>D35-E35</f>
        <v>570.68733838385378</v>
      </c>
      <c r="F42" s="65">
        <f>E35-F35</f>
        <v>0</v>
      </c>
      <c r="G42" s="76"/>
      <c r="O42" s="16" t="s">
        <v>523</v>
      </c>
      <c r="P42" s="262">
        <v>10513800</v>
      </c>
      <c r="R42" s="16" t="s">
        <v>521</v>
      </c>
      <c r="S42" s="271">
        <f>10103.75*2</f>
        <v>20207.5</v>
      </c>
    </row>
    <row r="43" spans="1:19" x14ac:dyDescent="0.2">
      <c r="A43" s="24" t="s">
        <v>117</v>
      </c>
      <c r="B43" s="64">
        <f>B39-B41-B42</f>
        <v>28924538.577352606</v>
      </c>
      <c r="C43" s="64">
        <f>C39+C42</f>
        <v>36168127.396299422</v>
      </c>
      <c r="D43" s="64">
        <f>D39+D42</f>
        <v>36157573.79061453</v>
      </c>
      <c r="E43" s="64">
        <f>E39+E42</f>
        <v>35861220.437952906</v>
      </c>
      <c r="F43" s="65">
        <f>F39+F42</f>
        <v>35860649.750614524</v>
      </c>
      <c r="G43" s="76"/>
      <c r="J43" s="344" t="s">
        <v>513</v>
      </c>
      <c r="K43" s="345"/>
      <c r="L43" s="285" t="s">
        <v>517</v>
      </c>
      <c r="M43" s="286" t="s">
        <v>518</v>
      </c>
    </row>
    <row r="44" spans="1:19" x14ac:dyDescent="0.2">
      <c r="A44" s="69" t="s">
        <v>118</v>
      </c>
      <c r="B44" s="79">
        <f>B43/P41</f>
        <v>3.6035081820378858</v>
      </c>
      <c r="C44" s="79">
        <f>C43/P42</f>
        <v>3.4400623367668608</v>
      </c>
      <c r="D44" s="79">
        <f>D43/P42</f>
        <v>3.4390585507251927</v>
      </c>
      <c r="E44" s="79">
        <f>E43/P42</f>
        <v>3.4108714677807175</v>
      </c>
      <c r="F44" s="80">
        <f>F43/P42</f>
        <v>3.4108171879448461</v>
      </c>
      <c r="G44" s="76"/>
      <c r="J44" s="346" t="s">
        <v>514</v>
      </c>
      <c r="K44" s="347"/>
      <c r="L44" s="294">
        <v>8.0000000000000002E-3</v>
      </c>
      <c r="M44" s="291">
        <v>0.8</v>
      </c>
      <c r="Q44" s="242" t="s">
        <v>464</v>
      </c>
      <c r="R44" s="242" t="s">
        <v>390</v>
      </c>
    </row>
    <row r="45" spans="1:19" x14ac:dyDescent="0.2">
      <c r="A45" s="69"/>
      <c r="B45" s="79"/>
      <c r="C45" s="79"/>
      <c r="D45" s="79"/>
      <c r="E45" s="79"/>
      <c r="F45" s="80"/>
      <c r="G45" s="76"/>
      <c r="J45" s="346" t="s">
        <v>515</v>
      </c>
      <c r="K45" s="347"/>
      <c r="L45" s="295">
        <v>0.01</v>
      </c>
      <c r="M45" s="291">
        <v>0.8</v>
      </c>
      <c r="O45" s="271" t="s">
        <v>526</v>
      </c>
      <c r="P45" s="271"/>
      <c r="Q45" s="267">
        <v>4224467.22</v>
      </c>
      <c r="R45" s="242" t="s">
        <v>532</v>
      </c>
    </row>
    <row r="46" spans="1:19" x14ac:dyDescent="0.2">
      <c r="A46" s="69" t="s">
        <v>103</v>
      </c>
      <c r="B46" s="338">
        <f>(B10+B11+B12+B13+B14+B15+B16)/B17</f>
        <v>0.37921924996810819</v>
      </c>
      <c r="C46" s="338">
        <f t="shared" ref="C46:F46" si="4">(C10+C11+C12+C13+C14+C15+C16)/C17</f>
        <v>0.36380750261316008</v>
      </c>
      <c r="D46" s="338">
        <f t="shared" si="4"/>
        <v>0.36380750261316008</v>
      </c>
      <c r="E46" s="338">
        <f t="shared" si="4"/>
        <v>0.3585398666987118</v>
      </c>
      <c r="F46" s="338">
        <f t="shared" si="4"/>
        <v>0.3585398666987118</v>
      </c>
      <c r="G46" s="76"/>
      <c r="J46" s="346" t="s">
        <v>516</v>
      </c>
      <c r="K46" s="347"/>
      <c r="L46" s="295">
        <v>0.03</v>
      </c>
      <c r="M46" s="291">
        <v>0.4</v>
      </c>
      <c r="O46" s="271" t="s">
        <v>527</v>
      </c>
      <c r="P46" s="271"/>
      <c r="Q46" s="242">
        <f>4224467.22*2*40</f>
        <v>337957377.59999996</v>
      </c>
      <c r="R46" s="242" t="s">
        <v>534</v>
      </c>
    </row>
    <row r="47" spans="1:19" ht="13.5" thickBot="1" x14ac:dyDescent="0.25">
      <c r="A47" s="34" t="s">
        <v>104</v>
      </c>
      <c r="B47" s="337">
        <f>(B7+B8)/B17</f>
        <v>0.62078075003189181</v>
      </c>
      <c r="C47" s="337">
        <f t="shared" ref="C47:F47" si="5">(C7+C8)/C17</f>
        <v>0.63619249738683981</v>
      </c>
      <c r="D47" s="337">
        <f t="shared" si="5"/>
        <v>0.63619249738683981</v>
      </c>
      <c r="E47" s="337">
        <f t="shared" si="5"/>
        <v>0.64146013330128826</v>
      </c>
      <c r="F47" s="337">
        <f t="shared" si="5"/>
        <v>0.64146013330128826</v>
      </c>
      <c r="G47" s="76"/>
      <c r="J47" s="287"/>
      <c r="K47" s="288" t="s">
        <v>519</v>
      </c>
      <c r="L47" s="288">
        <v>20000</v>
      </c>
      <c r="M47" s="289"/>
      <c r="O47" s="271" t="s">
        <v>528</v>
      </c>
      <c r="P47" s="271"/>
      <c r="Q47" s="267">
        <v>84375.14</v>
      </c>
      <c r="R47" s="242" t="s">
        <v>533</v>
      </c>
    </row>
    <row r="48" spans="1:19" ht="13.5" thickTop="1" x14ac:dyDescent="0.2">
      <c r="O48" s="271" t="s">
        <v>529</v>
      </c>
      <c r="P48" s="271"/>
      <c r="Q48" s="267">
        <v>5414607</v>
      </c>
      <c r="R48" s="242" t="s">
        <v>532</v>
      </c>
    </row>
    <row r="49" spans="1:20" ht="13.5" thickBot="1" x14ac:dyDescent="0.25">
      <c r="J49" s="16" t="s">
        <v>15</v>
      </c>
      <c r="K49" s="256">
        <v>0.02</v>
      </c>
      <c r="L49" s="16" t="s">
        <v>580</v>
      </c>
      <c r="O49" s="271" t="s">
        <v>531</v>
      </c>
      <c r="P49" s="271"/>
      <c r="Q49" s="267">
        <f>5414607*2*40</f>
        <v>433168560</v>
      </c>
      <c r="R49" s="242" t="s">
        <v>534</v>
      </c>
    </row>
    <row r="50" spans="1:20" ht="13.5" thickTop="1" x14ac:dyDescent="0.2">
      <c r="A50" s="32"/>
      <c r="B50" s="18" t="s">
        <v>119</v>
      </c>
      <c r="C50" s="18"/>
      <c r="D50" s="18"/>
      <c r="E50" s="18"/>
      <c r="F50" s="19"/>
      <c r="O50" s="271" t="s">
        <v>530</v>
      </c>
      <c r="P50" s="271"/>
      <c r="Q50" s="267">
        <v>48731.46</v>
      </c>
      <c r="R50" s="242" t="s">
        <v>533</v>
      </c>
    </row>
    <row r="51" spans="1:20" ht="13.5" thickBot="1" x14ac:dyDescent="0.25">
      <c r="A51" s="83" t="s">
        <v>88</v>
      </c>
      <c r="B51" s="21" t="s">
        <v>48</v>
      </c>
      <c r="C51" s="21" t="s">
        <v>89</v>
      </c>
      <c r="D51" s="21" t="s">
        <v>90</v>
      </c>
      <c r="E51" s="21" t="s">
        <v>91</v>
      </c>
      <c r="F51" s="22" t="s">
        <v>92</v>
      </c>
    </row>
    <row r="52" spans="1:20" ht="13.5" thickTop="1" x14ac:dyDescent="0.2">
      <c r="A52" s="275" t="s">
        <v>126</v>
      </c>
      <c r="B52" s="64">
        <f>C52*P79</f>
        <v>4431375</v>
      </c>
      <c r="C52" s="64">
        <f>O63+O64+O65+O66+O67</f>
        <v>4923750</v>
      </c>
      <c r="D52" s="64">
        <f>C52</f>
        <v>4923750</v>
      </c>
      <c r="E52" s="64">
        <f>C52</f>
        <v>4923750</v>
      </c>
      <c r="F52" s="64">
        <f>C52</f>
        <v>4923750</v>
      </c>
      <c r="O52" s="271" t="s">
        <v>538</v>
      </c>
      <c r="P52" s="271"/>
      <c r="Q52" s="272">
        <f>4063478.56</f>
        <v>4063478.56</v>
      </c>
      <c r="R52" s="242" t="s">
        <v>532</v>
      </c>
    </row>
    <row r="53" spans="1:20" x14ac:dyDescent="0.2">
      <c r="A53" s="26" t="s">
        <v>120</v>
      </c>
      <c r="B53" s="64">
        <f>C53</f>
        <v>212940.26146580206</v>
      </c>
      <c r="C53" s="64">
        <f>('E-Inv AF y Am'!D56-'E-Inv AF y Am'!D50)*'E-Costos'!P80</f>
        <v>212940.26146580206</v>
      </c>
      <c r="D53" s="64">
        <f>'E-Costos'!C53</f>
        <v>212940.26146580206</v>
      </c>
      <c r="E53" s="64">
        <f>P80*'E-Inv AF y Am'!E56</f>
        <v>212940.26146580206</v>
      </c>
      <c r="F53" s="44">
        <f>E53</f>
        <v>212940.26146580206</v>
      </c>
      <c r="O53" s="271" t="s">
        <v>539</v>
      </c>
      <c r="P53" s="271"/>
      <c r="Q53" s="272">
        <f>Q52*2*40</f>
        <v>325078284.80000001</v>
      </c>
      <c r="R53" s="242" t="s">
        <v>534</v>
      </c>
    </row>
    <row r="54" spans="1:20" x14ac:dyDescent="0.2">
      <c r="A54" s="26" t="s">
        <v>98</v>
      </c>
      <c r="B54" s="64">
        <f>C54*P81</f>
        <v>346593.41235362482</v>
      </c>
      <c r="C54" s="64">
        <f>('E-Inv AF y Am'!B51-'E-Inv AF y Am'!B50)*R63*R64+R65*(C43+D43+E43+F43)/4+C52*R66</f>
        <v>385103.79150402755</v>
      </c>
      <c r="D54" s="64">
        <f>C54</f>
        <v>385103.79150402755</v>
      </c>
      <c r="E54" s="64">
        <f>C54</f>
        <v>385103.79150402755</v>
      </c>
      <c r="F54" s="64">
        <f>C54</f>
        <v>385103.79150402755</v>
      </c>
      <c r="O54" s="271" t="s">
        <v>540</v>
      </c>
      <c r="P54" s="271"/>
      <c r="Q54" s="272">
        <f>81187.56</f>
        <v>81187.56</v>
      </c>
      <c r="R54" s="242" t="s">
        <v>533</v>
      </c>
    </row>
    <row r="55" spans="1:20" x14ac:dyDescent="0.2">
      <c r="A55" s="26" t="s">
        <v>121</v>
      </c>
      <c r="B55" s="64">
        <f>C55*P82</f>
        <v>34135.106897440426</v>
      </c>
      <c r="C55" s="64">
        <f>C13*((L36*P83*4*6/1000*8+N36)/(L36*Q36*4*6/1000*8+N36))</f>
        <v>37103.377062435247</v>
      </c>
      <c r="D55" s="64">
        <f>C55</f>
        <v>37103.377062435247</v>
      </c>
      <c r="E55" s="64">
        <f>C55</f>
        <v>37103.377062435247</v>
      </c>
      <c r="F55" s="64">
        <f>C55</f>
        <v>37103.377062435247</v>
      </c>
      <c r="O55" s="271" t="s">
        <v>541</v>
      </c>
      <c r="P55" s="271"/>
      <c r="Q55" s="272">
        <v>5256900</v>
      </c>
      <c r="R55" s="242" t="s">
        <v>532</v>
      </c>
    </row>
    <row r="56" spans="1:20" x14ac:dyDescent="0.2">
      <c r="A56" s="26" t="s">
        <v>122</v>
      </c>
      <c r="B56" s="64">
        <f>C56*P85</f>
        <v>2108</v>
      </c>
      <c r="C56" s="64">
        <f>R71*S71+S72*R72</f>
        <v>2480</v>
      </c>
      <c r="D56" s="64">
        <f>C56</f>
        <v>2480</v>
      </c>
      <c r="E56" s="64">
        <f>C56</f>
        <v>2480</v>
      </c>
      <c r="F56" s="64">
        <f>C56</f>
        <v>2480</v>
      </c>
      <c r="O56" s="271" t="s">
        <v>542</v>
      </c>
      <c r="P56" s="271"/>
      <c r="Q56" s="272">
        <f>Q55*2*40</f>
        <v>420552000</v>
      </c>
      <c r="R56" s="242" t="s">
        <v>534</v>
      </c>
    </row>
    <row r="57" spans="1:20" x14ac:dyDescent="0.2">
      <c r="A57" s="26" t="s">
        <v>123</v>
      </c>
      <c r="B57" s="64">
        <f>R76+R77+R78+R79</f>
        <v>590000</v>
      </c>
      <c r="C57" s="64">
        <f>B57</f>
        <v>590000</v>
      </c>
      <c r="D57" s="64">
        <f>B57</f>
        <v>590000</v>
      </c>
      <c r="E57" s="64">
        <f>B57</f>
        <v>590000</v>
      </c>
      <c r="F57" s="64">
        <f>B57</f>
        <v>590000</v>
      </c>
      <c r="O57" s="343" t="s">
        <v>543</v>
      </c>
      <c r="P57" s="343"/>
      <c r="Q57" s="272">
        <f>104086.62</f>
        <v>104086.62</v>
      </c>
      <c r="R57" s="242" t="s">
        <v>533</v>
      </c>
    </row>
    <row r="58" spans="1:20" x14ac:dyDescent="0.2">
      <c r="A58" s="26" t="s">
        <v>101</v>
      </c>
      <c r="B58" s="64">
        <f>('E-Inv AF y Am'!B7+'E-Inv AF y Am'!B8)*L44*U82+('E-Inv AF y Am'!B7+'E-Inv AF y Am'!B8)*L45*U83+U84*L46*V84*2+0.0005*R89+U86*R89</f>
        <v>2150693.94</v>
      </c>
      <c r="C58" s="64">
        <f>B58</f>
        <v>2150693.94</v>
      </c>
      <c r="D58" s="64">
        <f>B58</f>
        <v>2150693.94</v>
      </c>
      <c r="E58" s="64">
        <f>B58</f>
        <v>2150693.94</v>
      </c>
      <c r="F58" s="64">
        <f>B58</f>
        <v>2150693.94</v>
      </c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</row>
    <row r="59" spans="1:20" x14ac:dyDescent="0.2">
      <c r="A59" s="26" t="s">
        <v>15</v>
      </c>
      <c r="B59" s="64">
        <f>K49*(B58+B57+B56+B55+B54+B53+B52)</f>
        <v>155356.91441433734</v>
      </c>
      <c r="C59" s="64">
        <f>K49*(C58+C57+C56+C55+C54+C53+C52)</f>
        <v>166041.42740064531</v>
      </c>
      <c r="D59" s="64">
        <f>K49*(D58+D57+D56+D55+D54+D53+D52)</f>
        <v>166041.42740064531</v>
      </c>
      <c r="E59" s="64">
        <f>K49*(E58+E57+E56+E55+E54+E53+E52)</f>
        <v>166041.42740064531</v>
      </c>
      <c r="F59" s="64">
        <f>K49*(F58+F57+F56+F55+F54+F53+F52)</f>
        <v>166041.42740064531</v>
      </c>
    </row>
    <row r="60" spans="1:20" x14ac:dyDescent="0.2">
      <c r="A60" s="24" t="s">
        <v>124</v>
      </c>
      <c r="B60" s="64">
        <f>SUM(B52:B59)</f>
        <v>7923202.6351312045</v>
      </c>
      <c r="C60" s="64">
        <f>SUM(C52:C59)</f>
        <v>8468112.7974329088</v>
      </c>
      <c r="D60" s="64">
        <f>SUM(D52:D59)</f>
        <v>8468112.7974329088</v>
      </c>
      <c r="E60" s="64">
        <f>SUM(E52:E59)</f>
        <v>8468112.7974329088</v>
      </c>
      <c r="F60" s="64">
        <f>SUM(F52:F59)</f>
        <v>8468112.7974329088</v>
      </c>
      <c r="J60" s="343" t="s">
        <v>551</v>
      </c>
      <c r="K60" s="343"/>
    </row>
    <row r="61" spans="1:20" ht="13.5" thickBot="1" x14ac:dyDescent="0.25">
      <c r="A61" s="24"/>
      <c r="B61" s="84"/>
      <c r="C61" s="84"/>
      <c r="D61" s="84"/>
      <c r="E61" s="84"/>
      <c r="F61" s="85"/>
      <c r="G61" s="76"/>
      <c r="Q61" s="273" t="s">
        <v>569</v>
      </c>
    </row>
    <row r="62" spans="1:20" ht="13.5" thickBot="1" x14ac:dyDescent="0.25">
      <c r="A62" s="69" t="s">
        <v>103</v>
      </c>
      <c r="B62" s="86">
        <v>1</v>
      </c>
      <c r="C62" s="86">
        <v>1</v>
      </c>
      <c r="D62" s="86">
        <v>1</v>
      </c>
      <c r="E62" s="86">
        <v>1</v>
      </c>
      <c r="F62" s="86">
        <v>1</v>
      </c>
      <c r="G62" s="76"/>
      <c r="J62" s="344" t="s">
        <v>546</v>
      </c>
      <c r="K62" s="345"/>
      <c r="L62" s="292" t="s">
        <v>547</v>
      </c>
      <c r="M62" s="292" t="s">
        <v>472</v>
      </c>
      <c r="N62" s="292" t="s">
        <v>548</v>
      </c>
      <c r="O62" s="293" t="s">
        <v>486</v>
      </c>
    </row>
    <row r="63" spans="1:20" ht="13.5" thickBot="1" x14ac:dyDescent="0.25">
      <c r="A63" s="34" t="s">
        <v>104</v>
      </c>
      <c r="B63" s="81">
        <v>0</v>
      </c>
      <c r="C63" s="81">
        <v>0</v>
      </c>
      <c r="D63" s="81">
        <v>0</v>
      </c>
      <c r="E63" s="81">
        <v>0</v>
      </c>
      <c r="F63" s="81">
        <v>0</v>
      </c>
      <c r="G63" s="76"/>
      <c r="J63" s="346" t="s">
        <v>478</v>
      </c>
      <c r="K63" s="347"/>
      <c r="L63" s="307">
        <f>L15</f>
        <v>100000</v>
      </c>
      <c r="M63" s="307">
        <f>M15</f>
        <v>0.5</v>
      </c>
      <c r="N63" s="307">
        <v>0.3</v>
      </c>
      <c r="O63" s="308">
        <f>L63*(1+M63)*N63*13</f>
        <v>585000</v>
      </c>
      <c r="Q63" s="284" t="s">
        <v>562</v>
      </c>
      <c r="R63" s="310">
        <v>0.01</v>
      </c>
    </row>
    <row r="64" spans="1:20" ht="13.5" thickTop="1" x14ac:dyDescent="0.2">
      <c r="J64" s="346" t="s">
        <v>549</v>
      </c>
      <c r="K64" s="347"/>
      <c r="L64" s="307">
        <v>60000</v>
      </c>
      <c r="M64" s="307">
        <v>0.5</v>
      </c>
      <c r="N64" s="307">
        <v>1</v>
      </c>
      <c r="O64" s="308">
        <f>L64*(1+M64)*N64*13</f>
        <v>1170000</v>
      </c>
      <c r="Q64" s="290" t="s">
        <v>283</v>
      </c>
      <c r="R64" s="311">
        <v>0.04</v>
      </c>
    </row>
    <row r="65" spans="1:19" ht="13.5" thickBot="1" x14ac:dyDescent="0.25">
      <c r="J65" s="346" t="s">
        <v>550</v>
      </c>
      <c r="K65" s="347"/>
      <c r="L65" s="307">
        <v>45000</v>
      </c>
      <c r="M65" s="307">
        <v>0.5</v>
      </c>
      <c r="N65" s="307">
        <v>1</v>
      </c>
      <c r="O65" s="308">
        <f>L65*(1+M65)*N65*13</f>
        <v>877500</v>
      </c>
      <c r="Q65" s="290" t="s">
        <v>559</v>
      </c>
      <c r="R65" s="312">
        <v>7.4999999999999997E-3</v>
      </c>
    </row>
    <row r="66" spans="1:19" ht="14.25" thickTop="1" thickBot="1" x14ac:dyDescent="0.25">
      <c r="A66" s="32"/>
      <c r="B66" s="18" t="s">
        <v>125</v>
      </c>
      <c r="C66" s="18"/>
      <c r="D66" s="18"/>
      <c r="E66" s="18"/>
      <c r="F66" s="19"/>
      <c r="J66" s="346" t="s">
        <v>561</v>
      </c>
      <c r="K66" s="347"/>
      <c r="L66" s="307">
        <v>22000</v>
      </c>
      <c r="M66" s="307">
        <v>0.5</v>
      </c>
      <c r="N66" s="307">
        <v>5</v>
      </c>
      <c r="O66" s="308">
        <f>L66*(1+M66)*N66*13</f>
        <v>2145000</v>
      </c>
      <c r="Q66" s="287" t="s">
        <v>560</v>
      </c>
      <c r="R66" s="313">
        <v>0.02</v>
      </c>
    </row>
    <row r="67" spans="1:19" ht="13.5" thickBot="1" x14ac:dyDescent="0.25">
      <c r="A67" s="83" t="s">
        <v>88</v>
      </c>
      <c r="B67" s="21" t="s">
        <v>48</v>
      </c>
      <c r="C67" s="21" t="s">
        <v>89</v>
      </c>
      <c r="D67" s="21" t="s">
        <v>90</v>
      </c>
      <c r="E67" s="21" t="s">
        <v>91</v>
      </c>
      <c r="F67" s="22" t="s">
        <v>92</v>
      </c>
      <c r="J67" s="287" t="s">
        <v>482</v>
      </c>
      <c r="K67" s="288"/>
      <c r="L67" s="306">
        <v>30000</v>
      </c>
      <c r="M67" s="306">
        <v>0.5</v>
      </c>
      <c r="N67" s="306">
        <v>0.25</v>
      </c>
      <c r="O67" s="309">
        <f>L67*(1+M67)*N67*13</f>
        <v>146250</v>
      </c>
    </row>
    <row r="68" spans="1:19" ht="13.5" thickTop="1" x14ac:dyDescent="0.2">
      <c r="A68" s="23" t="s">
        <v>126</v>
      </c>
      <c r="B68" s="62">
        <f>C68*P79</f>
        <v>4677075</v>
      </c>
      <c r="C68" s="62">
        <f>O72+O73+O74+O75+O76+O77</f>
        <v>5196750</v>
      </c>
      <c r="D68" s="62">
        <f>C68</f>
        <v>5196750</v>
      </c>
      <c r="E68" s="62">
        <f>C68</f>
        <v>5196750</v>
      </c>
      <c r="F68" s="62">
        <f>C68</f>
        <v>5196750</v>
      </c>
      <c r="Q68" s="16" t="s">
        <v>568</v>
      </c>
    </row>
    <row r="69" spans="1:19" ht="13.5" thickBot="1" x14ac:dyDescent="0.25">
      <c r="A69" s="26" t="s">
        <v>120</v>
      </c>
      <c r="B69" s="64">
        <f>C69</f>
        <v>212940.26146580206</v>
      </c>
      <c r="C69" s="64">
        <f>C53</f>
        <v>212940.26146580206</v>
      </c>
      <c r="D69" s="64">
        <f>'E-Costos'!C69</f>
        <v>212940.26146580206</v>
      </c>
      <c r="E69" s="64">
        <f>E53</f>
        <v>212940.26146580206</v>
      </c>
      <c r="F69" s="44">
        <f>E69</f>
        <v>212940.26146580206</v>
      </c>
      <c r="J69" s="343" t="s">
        <v>552</v>
      </c>
      <c r="K69" s="343"/>
    </row>
    <row r="70" spans="1:19" ht="13.5" thickBot="1" x14ac:dyDescent="0.25">
      <c r="A70" s="26" t="s">
        <v>98</v>
      </c>
      <c r="B70" s="64">
        <f>C70*P81</f>
        <v>324989.43548624997</v>
      </c>
      <c r="C70" s="64">
        <f>R94*R95*('E-Inv AF y Am'!B51-'E-Inv AF y Am'!B50)+R96*C68+R97*R89+R98*R89</f>
        <v>361099.37276249996</v>
      </c>
      <c r="D70" s="64">
        <f>C70</f>
        <v>361099.37276249996</v>
      </c>
      <c r="E70" s="64">
        <f>C70</f>
        <v>361099.37276249996</v>
      </c>
      <c r="F70" s="64">
        <f>C70</f>
        <v>361099.37276249996</v>
      </c>
      <c r="H70" s="329"/>
      <c r="Q70" s="296" t="s">
        <v>122</v>
      </c>
      <c r="R70" s="276" t="s">
        <v>512</v>
      </c>
      <c r="S70" s="277" t="s">
        <v>389</v>
      </c>
    </row>
    <row r="71" spans="1:19" x14ac:dyDescent="0.2">
      <c r="A71" s="26" t="s">
        <v>127</v>
      </c>
      <c r="B71" s="64">
        <f>C71*P87</f>
        <v>42478.481281402324</v>
      </c>
      <c r="C71" s="64">
        <f>C13*((L36*P84*4*6/1000*8+N36)/(L36*Q36*4*6/1000*8+N36))</f>
        <v>47198.312534891469</v>
      </c>
      <c r="D71" s="64">
        <f>C71</f>
        <v>47198.312534891469</v>
      </c>
      <c r="E71" s="64">
        <f>C71</f>
        <v>47198.312534891469</v>
      </c>
      <c r="F71" s="64">
        <f>C71</f>
        <v>47198.312534891469</v>
      </c>
      <c r="J71" s="344" t="s">
        <v>546</v>
      </c>
      <c r="K71" s="345"/>
      <c r="L71" s="285" t="s">
        <v>547</v>
      </c>
      <c r="M71" s="285" t="s">
        <v>472</v>
      </c>
      <c r="N71" s="285" t="s">
        <v>548</v>
      </c>
      <c r="O71" s="286" t="s">
        <v>486</v>
      </c>
      <c r="Q71" s="290" t="s">
        <v>510</v>
      </c>
      <c r="R71" s="297">
        <v>2000</v>
      </c>
      <c r="S71" s="298">
        <v>1.24</v>
      </c>
    </row>
    <row r="72" spans="1:19" ht="13.5" thickBot="1" x14ac:dyDescent="0.25">
      <c r="A72" s="26" t="s">
        <v>122</v>
      </c>
      <c r="B72" s="64">
        <f>C72*P86</f>
        <v>3650.56</v>
      </c>
      <c r="C72" s="64">
        <f>C56*U87</f>
        <v>3968</v>
      </c>
      <c r="D72" s="64">
        <f>C72</f>
        <v>3968</v>
      </c>
      <c r="E72" s="64">
        <f>C72</f>
        <v>3968</v>
      </c>
      <c r="F72" s="64">
        <f>C72</f>
        <v>3968</v>
      </c>
      <c r="J72" s="346" t="s">
        <v>478</v>
      </c>
      <c r="K72" s="347"/>
      <c r="L72" s="307">
        <v>100000</v>
      </c>
      <c r="M72" s="307">
        <v>0.5</v>
      </c>
      <c r="N72" s="307">
        <v>0.3</v>
      </c>
      <c r="O72" s="308">
        <f>L72*(M72+1)*N72*13</f>
        <v>585000</v>
      </c>
      <c r="Q72" s="287" t="s">
        <v>511</v>
      </c>
      <c r="R72" s="299">
        <v>0</v>
      </c>
      <c r="S72" s="300">
        <v>6</v>
      </c>
    </row>
    <row r="73" spans="1:19" x14ac:dyDescent="0.2">
      <c r="A73" s="26" t="s">
        <v>123</v>
      </c>
      <c r="B73" s="64">
        <f>L94+L95+L96+L99+L97+L100</f>
        <v>4430708.8</v>
      </c>
      <c r="C73" s="64">
        <f>L94+L95+L96+L97+L98+L100</f>
        <v>5425520</v>
      </c>
      <c r="D73" s="64">
        <f>C73</f>
        <v>5425520</v>
      </c>
      <c r="E73" s="64">
        <f>C73</f>
        <v>5425520</v>
      </c>
      <c r="F73" s="64">
        <f>C73</f>
        <v>5425520</v>
      </c>
      <c r="H73" s="329"/>
      <c r="J73" s="346" t="s">
        <v>553</v>
      </c>
      <c r="K73" s="347"/>
      <c r="L73" s="307">
        <v>40000</v>
      </c>
      <c r="M73" s="307">
        <v>0.5</v>
      </c>
      <c r="N73" s="307">
        <v>1</v>
      </c>
      <c r="O73" s="308">
        <f>L73*(M73+1)*N73*13</f>
        <v>780000</v>
      </c>
    </row>
    <row r="74" spans="1:19" x14ac:dyDescent="0.2">
      <c r="A74" s="26" t="s">
        <v>101</v>
      </c>
      <c r="B74" s="64">
        <f>('E-Inv AF y Am'!B7+'E-Inv AF y Am'!B8)*'E-Costos'!U101*'E-Costos'!L44+('E-Inv AF y Am'!B7+'E-Inv AF y Am'!B8)*L45*U102+U103*2*V103*L46+U104*P41*InfoInicial!B20</f>
        <v>5249865.040000001</v>
      </c>
      <c r="C74" s="64">
        <f>('E-Inv AF y Am'!B7+'E-Inv AF y Am'!B8)*'E-Costos'!U101*'E-Costos'!L44+('E-Inv AF y Am'!B7+'E-Inv AF y Am'!B8)*L45*U102+U103*2*V103*L46+U104*R89</f>
        <v>6866433.2400000002</v>
      </c>
      <c r="D74" s="64">
        <f>C74</f>
        <v>6866433.2400000002</v>
      </c>
      <c r="E74" s="64">
        <f>C74</f>
        <v>6866433.2400000002</v>
      </c>
      <c r="F74" s="64">
        <f>C74</f>
        <v>6866433.2400000002</v>
      </c>
      <c r="H74" s="329"/>
      <c r="J74" s="346" t="s">
        <v>554</v>
      </c>
      <c r="K74" s="347"/>
      <c r="L74" s="307">
        <v>35000</v>
      </c>
      <c r="M74" s="307">
        <v>0.5</v>
      </c>
      <c r="N74" s="307">
        <v>1</v>
      </c>
      <c r="O74" s="308">
        <f>L74*(M74+1)*N74*13</f>
        <v>682500</v>
      </c>
      <c r="Q74" s="261" t="s">
        <v>570</v>
      </c>
    </row>
    <row r="75" spans="1:19" ht="13.5" thickBot="1" x14ac:dyDescent="0.25">
      <c r="A75" s="26" t="s">
        <v>15</v>
      </c>
      <c r="B75" s="64">
        <f>(B74+B73+B72+B71+B70+B69+B68)*K49</f>
        <v>298834.1515646691</v>
      </c>
      <c r="C75" s="64">
        <f>SUM(C68:C74)*K49</f>
        <v>362278.18373526388</v>
      </c>
      <c r="D75" s="64">
        <f>SUM(D68:D74)*K49</f>
        <v>362278.18373526388</v>
      </c>
      <c r="E75" s="64">
        <f>SUM(E68:E74)*K49</f>
        <v>362278.18373526388</v>
      </c>
      <c r="F75" s="64">
        <f>SUM(F68:F74)*K49</f>
        <v>362278.18373526388</v>
      </c>
      <c r="J75" s="346" t="s">
        <v>555</v>
      </c>
      <c r="K75" s="347"/>
      <c r="L75" s="307">
        <v>22000</v>
      </c>
      <c r="M75" s="307">
        <v>0.5</v>
      </c>
      <c r="N75" s="307">
        <v>4</v>
      </c>
      <c r="O75" s="308">
        <f>L75*(M75+1)*N75*13</f>
        <v>1716000</v>
      </c>
    </row>
    <row r="76" spans="1:19" x14ac:dyDescent="0.2">
      <c r="A76" s="26"/>
      <c r="B76" s="46"/>
      <c r="C76" s="46"/>
      <c r="D76" s="46"/>
      <c r="E76" s="46"/>
      <c r="F76" s="49"/>
      <c r="J76" s="346" t="s">
        <v>556</v>
      </c>
      <c r="K76" s="347"/>
      <c r="L76" s="307">
        <v>22000</v>
      </c>
      <c r="M76" s="307">
        <v>0.5</v>
      </c>
      <c r="N76" s="307">
        <v>3</v>
      </c>
      <c r="O76" s="308">
        <f>L76*(M76+1)*N76*13</f>
        <v>1287000</v>
      </c>
      <c r="Q76" s="284" t="s">
        <v>571</v>
      </c>
      <c r="R76" s="286">
        <v>220000</v>
      </c>
    </row>
    <row r="77" spans="1:19" ht="13.5" thickBot="1" x14ac:dyDescent="0.25">
      <c r="A77" s="24" t="s">
        <v>128</v>
      </c>
      <c r="B77" s="64">
        <f>SUM(B68:B75)</f>
        <v>15240541.729798123</v>
      </c>
      <c r="C77" s="64">
        <f>SUM(C68:C75)</f>
        <v>18476187.370498456</v>
      </c>
      <c r="D77" s="64">
        <f>SUM(D68:D75)</f>
        <v>18476187.370498456</v>
      </c>
      <c r="E77" s="64">
        <f>SUM(E68:E75)</f>
        <v>18476187.370498456</v>
      </c>
      <c r="F77" s="64">
        <f>SUM(F68:F75)</f>
        <v>18476187.370498456</v>
      </c>
      <c r="J77" s="287" t="s">
        <v>482</v>
      </c>
      <c r="K77" s="288"/>
      <c r="L77" s="306">
        <v>30000</v>
      </c>
      <c r="M77" s="306">
        <v>0.5</v>
      </c>
      <c r="N77" s="306">
        <v>0.25</v>
      </c>
      <c r="O77" s="309">
        <f>N77*L77*(1+M77)*13</f>
        <v>146250</v>
      </c>
      <c r="Q77" s="290" t="s">
        <v>572</v>
      </c>
      <c r="R77" s="291">
        <f>12*15000</f>
        <v>180000</v>
      </c>
    </row>
    <row r="78" spans="1:19" x14ac:dyDescent="0.2">
      <c r="A78" s="24"/>
      <c r="B78" s="84"/>
      <c r="C78" s="84"/>
      <c r="D78" s="84"/>
      <c r="E78" s="84"/>
      <c r="F78" s="85"/>
      <c r="Q78" s="290" t="s">
        <v>573</v>
      </c>
      <c r="R78" s="291">
        <v>70000</v>
      </c>
    </row>
    <row r="79" spans="1:19" ht="13.5" thickBot="1" x14ac:dyDescent="0.25">
      <c r="A79" s="69" t="s">
        <v>103</v>
      </c>
      <c r="B79" s="335">
        <f>(R98*R89*P81+L99+U104*P41*InfoInicial!B20)/B77</f>
        <v>0.5602701705350146</v>
      </c>
      <c r="C79" s="336">
        <f>(R98*R89+L98+U104*R89)/C77</f>
        <v>0.60415610840922407</v>
      </c>
      <c r="D79" s="335">
        <f>(R98*R89+L98+U104*R89)/D77</f>
        <v>0.60415610840922407</v>
      </c>
      <c r="E79" s="335">
        <f>(R98*R89+L98+U104*R89)/E77</f>
        <v>0.60415610840922407</v>
      </c>
      <c r="F79" s="335">
        <f>(R98*R89+L98+U104*R89)/F77</f>
        <v>0.60415610840922407</v>
      </c>
      <c r="J79" s="342" t="s">
        <v>557</v>
      </c>
      <c r="K79" s="342"/>
      <c r="L79" s="342"/>
      <c r="M79" s="342"/>
      <c r="N79" s="342"/>
      <c r="O79" s="342"/>
      <c r="P79" s="266">
        <v>0.9</v>
      </c>
      <c r="Q79" s="287" t="s">
        <v>574</v>
      </c>
      <c r="R79" s="289">
        <v>120000</v>
      </c>
    </row>
    <row r="80" spans="1:19" ht="13.5" thickBot="1" x14ac:dyDescent="0.25">
      <c r="A80" s="34" t="s">
        <v>104</v>
      </c>
      <c r="B80" s="337">
        <f>1-B79</f>
        <v>0.4397298294649854</v>
      </c>
      <c r="C80" s="337">
        <f t="shared" ref="C80:F80" si="6">1-C79</f>
        <v>0.39584389159077593</v>
      </c>
      <c r="D80" s="337">
        <f t="shared" si="6"/>
        <v>0.39584389159077593</v>
      </c>
      <c r="E80" s="337">
        <f t="shared" si="6"/>
        <v>0.39584389159077593</v>
      </c>
      <c r="F80" s="337">
        <f t="shared" si="6"/>
        <v>0.39584389159077593</v>
      </c>
      <c r="J80" s="271" t="s">
        <v>558</v>
      </c>
      <c r="K80" s="271"/>
      <c r="L80" s="271"/>
      <c r="M80" s="271"/>
      <c r="N80" s="271"/>
      <c r="O80" s="271"/>
      <c r="P80" s="266">
        <v>0.05</v>
      </c>
    </row>
    <row r="81" spans="1:23" ht="13.5" thickTop="1" x14ac:dyDescent="0.2">
      <c r="J81" s="343" t="s">
        <v>588</v>
      </c>
      <c r="K81" s="343"/>
      <c r="L81" s="343"/>
      <c r="M81" s="343"/>
      <c r="N81" s="343"/>
      <c r="O81" s="343"/>
      <c r="P81" s="266">
        <v>0.9</v>
      </c>
    </row>
    <row r="82" spans="1:23" ht="13.5" thickBot="1" x14ac:dyDescent="0.25">
      <c r="J82" s="343" t="s">
        <v>563</v>
      </c>
      <c r="K82" s="343"/>
      <c r="L82" s="343"/>
      <c r="M82" s="343"/>
      <c r="N82" s="343"/>
      <c r="O82" s="343"/>
      <c r="P82" s="266">
        <v>0.92</v>
      </c>
      <c r="Q82" s="343" t="s">
        <v>575</v>
      </c>
      <c r="R82" s="343"/>
      <c r="S82" s="343"/>
      <c r="T82" s="343"/>
      <c r="U82" s="266">
        <v>0.1</v>
      </c>
    </row>
    <row r="83" spans="1:23" ht="16.5" thickTop="1" x14ac:dyDescent="0.25">
      <c r="A83" s="88" t="s">
        <v>129</v>
      </c>
      <c r="B83" s="89"/>
      <c r="C83" s="89"/>
      <c r="D83" s="89"/>
      <c r="E83" s="89"/>
      <c r="F83" s="90"/>
      <c r="J83" s="343" t="s">
        <v>564</v>
      </c>
      <c r="K83" s="343"/>
      <c r="L83" s="343"/>
      <c r="M83" s="343"/>
      <c r="N83" s="343"/>
      <c r="O83" s="343"/>
      <c r="P83" s="266">
        <v>7.0000000000000007E-2</v>
      </c>
      <c r="Q83" s="343" t="s">
        <v>576</v>
      </c>
      <c r="R83" s="343"/>
      <c r="S83" s="343"/>
      <c r="T83" s="343"/>
      <c r="U83" s="266">
        <v>0.1</v>
      </c>
    </row>
    <row r="84" spans="1:23" ht="13.5" thickBot="1" x14ac:dyDescent="0.25">
      <c r="A84" s="26"/>
      <c r="B84" s="60" t="s">
        <v>48</v>
      </c>
      <c r="C84" s="60" t="s">
        <v>89</v>
      </c>
      <c r="D84" s="60" t="s">
        <v>90</v>
      </c>
      <c r="E84" s="60" t="s">
        <v>91</v>
      </c>
      <c r="F84" s="22" t="s">
        <v>92</v>
      </c>
      <c r="J84" s="343" t="s">
        <v>565</v>
      </c>
      <c r="K84" s="343"/>
      <c r="L84" s="343"/>
      <c r="M84" s="343"/>
      <c r="N84" s="343"/>
      <c r="O84" s="343"/>
      <c r="P84" s="266">
        <v>0.09</v>
      </c>
      <c r="Q84" s="343" t="s">
        <v>577</v>
      </c>
      <c r="R84" s="343"/>
      <c r="S84" s="343"/>
      <c r="T84" s="343"/>
      <c r="U84" s="274">
        <f>L47</f>
        <v>20000</v>
      </c>
      <c r="V84" s="318">
        <v>0.1</v>
      </c>
      <c r="W84" s="16" t="s">
        <v>598</v>
      </c>
    </row>
    <row r="85" spans="1:23" ht="13.5" thickTop="1" x14ac:dyDescent="0.2">
      <c r="A85" s="26" t="s">
        <v>130</v>
      </c>
      <c r="B85" s="91">
        <f>P41-S42</f>
        <v>8006564.5</v>
      </c>
      <c r="C85" s="91">
        <f>P42</f>
        <v>10513800</v>
      </c>
      <c r="D85" s="91">
        <f>C85</f>
        <v>10513800</v>
      </c>
      <c r="E85" s="91">
        <f>C85</f>
        <v>10513800</v>
      </c>
      <c r="F85" s="91">
        <f>C85</f>
        <v>10513800</v>
      </c>
      <c r="J85" s="343" t="s">
        <v>566</v>
      </c>
      <c r="K85" s="343"/>
      <c r="L85" s="343"/>
      <c r="M85" s="343"/>
      <c r="N85" s="343"/>
      <c r="O85" s="343"/>
      <c r="P85" s="266">
        <v>0.85</v>
      </c>
      <c r="Q85" s="343" t="s">
        <v>597</v>
      </c>
      <c r="R85" s="343"/>
      <c r="S85" s="343"/>
      <c r="T85" s="343"/>
      <c r="U85" s="317">
        <v>5.0000000000000001E-4</v>
      </c>
    </row>
    <row r="86" spans="1:23" x14ac:dyDescent="0.2">
      <c r="A86" s="26" t="s">
        <v>131</v>
      </c>
      <c r="B86" s="64">
        <v>13</v>
      </c>
      <c r="C86" s="64">
        <v>13</v>
      </c>
      <c r="D86" s="64">
        <v>13</v>
      </c>
      <c r="E86" s="64">
        <v>13</v>
      </c>
      <c r="F86" s="64">
        <v>13</v>
      </c>
      <c r="J86" s="343" t="s">
        <v>567</v>
      </c>
      <c r="K86" s="343"/>
      <c r="L86" s="343"/>
      <c r="M86" s="343"/>
      <c r="N86" s="343"/>
      <c r="O86" s="343"/>
      <c r="P86" s="266">
        <v>0.92</v>
      </c>
      <c r="Q86" s="343" t="s">
        <v>578</v>
      </c>
      <c r="R86" s="343"/>
      <c r="S86" s="343"/>
      <c r="T86" s="343"/>
      <c r="U86" s="266">
        <v>1.4999999999999999E-2</v>
      </c>
    </row>
    <row r="87" spans="1:23" x14ac:dyDescent="0.2">
      <c r="A87" s="24" t="s">
        <v>132</v>
      </c>
      <c r="B87" s="64">
        <f>B85*B86</f>
        <v>104085338.5</v>
      </c>
      <c r="C87" s="64">
        <f>C85*C86</f>
        <v>136679400</v>
      </c>
      <c r="D87" s="64">
        <f>D85*D86</f>
        <v>136679400</v>
      </c>
      <c r="E87" s="64">
        <f>E85*E86</f>
        <v>136679400</v>
      </c>
      <c r="F87" s="65">
        <f>F85*F86</f>
        <v>136679400</v>
      </c>
      <c r="J87" s="343" t="s">
        <v>581</v>
      </c>
      <c r="K87" s="343"/>
      <c r="L87" s="343"/>
      <c r="M87" s="343"/>
      <c r="N87" s="343"/>
      <c r="O87" s="343"/>
      <c r="P87" s="266">
        <v>0.9</v>
      </c>
      <c r="Q87" s="343" t="s">
        <v>582</v>
      </c>
      <c r="R87" s="343"/>
      <c r="S87" s="343"/>
      <c r="T87" s="343"/>
      <c r="U87" s="266">
        <v>1.6</v>
      </c>
    </row>
    <row r="88" spans="1:23" x14ac:dyDescent="0.2">
      <c r="A88" s="26"/>
      <c r="B88" s="84"/>
      <c r="C88" s="84"/>
      <c r="D88" s="84"/>
      <c r="E88" s="84"/>
      <c r="F88" s="85"/>
    </row>
    <row r="89" spans="1:23" x14ac:dyDescent="0.2">
      <c r="A89" s="26" t="s">
        <v>133</v>
      </c>
      <c r="B89" s="64">
        <f t="shared" ref="B89:F90" si="7">B7</f>
        <v>7672448.3675259994</v>
      </c>
      <c r="C89" s="64">
        <f t="shared" si="7"/>
        <v>9887657.1693000011</v>
      </c>
      <c r="D89" s="64">
        <f t="shared" si="7"/>
        <v>9887657.1693000011</v>
      </c>
      <c r="E89" s="64">
        <f t="shared" si="7"/>
        <v>9887657.1693000011</v>
      </c>
      <c r="F89" s="65">
        <f t="shared" si="7"/>
        <v>9887657.1693000011</v>
      </c>
      <c r="Q89" s="16" t="s">
        <v>579</v>
      </c>
      <c r="R89" s="16">
        <f>P42*InfoInicial!B20</f>
        <v>136679400</v>
      </c>
    </row>
    <row r="90" spans="1:23" x14ac:dyDescent="0.2">
      <c r="A90" s="26" t="s">
        <v>94</v>
      </c>
      <c r="B90" s="64">
        <f t="shared" si="7"/>
        <v>12066278.4</v>
      </c>
      <c r="C90" s="64">
        <f t="shared" si="7"/>
        <v>13115520</v>
      </c>
      <c r="D90" s="64">
        <f t="shared" si="7"/>
        <v>13115520</v>
      </c>
      <c r="E90" s="64">
        <f t="shared" si="7"/>
        <v>13115520</v>
      </c>
      <c r="F90" s="65">
        <f t="shared" si="7"/>
        <v>13115520</v>
      </c>
      <c r="S90" s="75"/>
    </row>
    <row r="91" spans="1:23" x14ac:dyDescent="0.2">
      <c r="A91" s="26" t="s">
        <v>134</v>
      </c>
      <c r="B91" s="64">
        <f>SUM(B10:B16)</f>
        <v>12057888.650255477</v>
      </c>
      <c r="C91" s="64">
        <f t="shared" ref="C91:F91" si="8">SUM(C10:C16)</f>
        <v>13154396.621314524</v>
      </c>
      <c r="D91" s="64">
        <f t="shared" si="8"/>
        <v>13154396.621314524</v>
      </c>
      <c r="E91" s="64">
        <f t="shared" si="8"/>
        <v>12857472.581314525</v>
      </c>
      <c r="F91" s="64">
        <f t="shared" si="8"/>
        <v>12857472.581314525</v>
      </c>
    </row>
    <row r="92" spans="1:23" x14ac:dyDescent="0.2">
      <c r="A92" s="26"/>
      <c r="B92" s="84"/>
      <c r="C92" s="84"/>
      <c r="D92" s="84"/>
      <c r="E92" s="84"/>
      <c r="F92" s="85"/>
      <c r="H92" s="254"/>
      <c r="J92" s="16" t="s">
        <v>589</v>
      </c>
      <c r="Q92" s="16" t="s">
        <v>583</v>
      </c>
    </row>
    <row r="93" spans="1:23" ht="13.5" thickBot="1" x14ac:dyDescent="0.25">
      <c r="A93" s="26" t="s">
        <v>135</v>
      </c>
      <c r="B93" s="93">
        <f>SUM(B89:B91)</f>
        <v>31796615.41778148</v>
      </c>
      <c r="C93" s="93">
        <f t="shared" ref="C93:F93" si="9">SUM(C89:C91)</f>
        <v>36157573.790614523</v>
      </c>
      <c r="D93" s="93">
        <f t="shared" si="9"/>
        <v>36157573.790614523</v>
      </c>
      <c r="E93" s="93">
        <f t="shared" si="9"/>
        <v>35860649.750614524</v>
      </c>
      <c r="F93" s="93">
        <f t="shared" si="9"/>
        <v>35860649.750614524</v>
      </c>
    </row>
    <row r="94" spans="1:23" x14ac:dyDescent="0.2">
      <c r="A94" s="26"/>
      <c r="B94" s="84"/>
      <c r="C94" s="84"/>
      <c r="D94" s="84"/>
      <c r="E94" s="84"/>
      <c r="F94" s="85"/>
      <c r="J94" s="356" t="s">
        <v>571</v>
      </c>
      <c r="K94" s="357"/>
      <c r="L94" s="316">
        <v>200000</v>
      </c>
      <c r="Q94" s="284" t="s">
        <v>562</v>
      </c>
      <c r="R94" s="310">
        <v>0.01</v>
      </c>
      <c r="T94" s="343" t="s">
        <v>594</v>
      </c>
      <c r="U94" s="343"/>
      <c r="V94" s="274">
        <v>2000</v>
      </c>
    </row>
    <row r="95" spans="1:23" x14ac:dyDescent="0.2">
      <c r="A95" s="26" t="s">
        <v>114</v>
      </c>
      <c r="B95" s="84"/>
      <c r="C95" s="84"/>
      <c r="D95" s="84"/>
      <c r="E95" s="84"/>
      <c r="F95" s="85"/>
      <c r="J95" s="346" t="s">
        <v>590</v>
      </c>
      <c r="K95" s="347"/>
      <c r="L95" s="279">
        <f>20000*12</f>
        <v>240000</v>
      </c>
      <c r="Q95" s="290" t="s">
        <v>283</v>
      </c>
      <c r="R95" s="311">
        <v>0.06</v>
      </c>
    </row>
    <row r="96" spans="1:23" x14ac:dyDescent="0.2">
      <c r="A96" s="28" t="s">
        <v>107</v>
      </c>
      <c r="B96" s="64">
        <f>G35</f>
        <v>2792028.4590802034</v>
      </c>
      <c r="C96" s="64">
        <v>0</v>
      </c>
      <c r="D96" s="64">
        <v>0</v>
      </c>
      <c r="E96" s="64">
        <v>0</v>
      </c>
      <c r="F96" s="65">
        <v>0</v>
      </c>
      <c r="J96" s="346" t="s">
        <v>591</v>
      </c>
      <c r="K96" s="347"/>
      <c r="L96" s="279">
        <v>180000</v>
      </c>
      <c r="Q96" s="290" t="s">
        <v>585</v>
      </c>
      <c r="R96" s="311">
        <v>0.02</v>
      </c>
    </row>
    <row r="97" spans="1:23" x14ac:dyDescent="0.2">
      <c r="A97" s="28" t="s">
        <v>116</v>
      </c>
      <c r="B97" s="64">
        <f>B42</f>
        <v>80048.381348669063</v>
      </c>
      <c r="C97" s="64">
        <f>C42</f>
        <v>10553.605684889728</v>
      </c>
      <c r="D97" s="64">
        <f>D42</f>
        <v>0</v>
      </c>
      <c r="E97" s="64">
        <f>E42</f>
        <v>570.68733838385378</v>
      </c>
      <c r="F97" s="65">
        <f>F42</f>
        <v>0</v>
      </c>
      <c r="J97" s="346" t="s">
        <v>592</v>
      </c>
      <c r="K97" s="347"/>
      <c r="L97" s="279">
        <v>100000</v>
      </c>
      <c r="Q97" s="290" t="s">
        <v>586</v>
      </c>
      <c r="R97" s="312">
        <v>8.0000000000000004E-4</v>
      </c>
    </row>
    <row r="98" spans="1:23" ht="13.5" thickBot="1" x14ac:dyDescent="0.25">
      <c r="A98" s="26"/>
      <c r="B98" s="84"/>
      <c r="C98" s="84"/>
      <c r="D98" s="84"/>
      <c r="E98" s="84"/>
      <c r="F98" s="85"/>
      <c r="J98" s="346" t="s">
        <v>595</v>
      </c>
      <c r="K98" s="347"/>
      <c r="L98" s="279">
        <f>800*P42/V94</f>
        <v>4205520</v>
      </c>
      <c r="Q98" s="287" t="s">
        <v>587</v>
      </c>
      <c r="R98" s="315">
        <v>8.9999999999999998E-4</v>
      </c>
    </row>
    <row r="99" spans="1:23" x14ac:dyDescent="0.2">
      <c r="A99" s="24" t="s">
        <v>136</v>
      </c>
      <c r="B99" s="64">
        <f>B93-B96-B97</f>
        <v>28924538.577352606</v>
      </c>
      <c r="C99" s="64">
        <f>C93-C96+C97</f>
        <v>36168127.396299414</v>
      </c>
      <c r="D99" s="64">
        <f>D93-D96+D97</f>
        <v>36157573.790614523</v>
      </c>
      <c r="E99" s="64">
        <f>E93-E96+E97</f>
        <v>35861220.437952906</v>
      </c>
      <c r="F99" s="65">
        <f>F93-F96+F97</f>
        <v>35860649.750614524</v>
      </c>
      <c r="J99" s="290" t="s">
        <v>596</v>
      </c>
      <c r="K99" s="261"/>
      <c r="L99" s="279">
        <f>800*P41/V94</f>
        <v>3210708.8</v>
      </c>
    </row>
    <row r="100" spans="1:23" ht="13.5" thickBot="1" x14ac:dyDescent="0.25">
      <c r="A100" s="28" t="s">
        <v>137</v>
      </c>
      <c r="B100" s="320">
        <f>P41</f>
        <v>8026772</v>
      </c>
      <c r="C100" s="320">
        <f>P42</f>
        <v>10513800</v>
      </c>
      <c r="D100" s="320">
        <f>C100</f>
        <v>10513800</v>
      </c>
      <c r="E100" s="320">
        <f>C100</f>
        <v>10513800</v>
      </c>
      <c r="F100" s="321">
        <f>C100</f>
        <v>10513800</v>
      </c>
      <c r="J100" s="280" t="s">
        <v>593</v>
      </c>
      <c r="K100" s="281"/>
      <c r="L100" s="283">
        <v>500000</v>
      </c>
    </row>
    <row r="101" spans="1:23" x14ac:dyDescent="0.2">
      <c r="A101" s="26" t="s">
        <v>138</v>
      </c>
      <c r="B101" s="64">
        <f>B99/B100</f>
        <v>3.6035081820378858</v>
      </c>
      <c r="C101" s="64">
        <f>C99/C100</f>
        <v>3.4400623367668604</v>
      </c>
      <c r="D101" s="64">
        <f>D99/D100</f>
        <v>3.4390585507251918</v>
      </c>
      <c r="E101" s="64">
        <f>E99/E100</f>
        <v>3.4108714677807175</v>
      </c>
      <c r="F101" s="65">
        <f>F99/F100</f>
        <v>3.4108171879448461</v>
      </c>
      <c r="Q101" s="261" t="s">
        <v>599</v>
      </c>
      <c r="U101" s="256">
        <v>0.1</v>
      </c>
    </row>
    <row r="102" spans="1:23" x14ac:dyDescent="0.2">
      <c r="A102" s="26"/>
      <c r="B102" s="95"/>
      <c r="C102" s="95"/>
      <c r="D102" s="95"/>
      <c r="E102" s="95"/>
      <c r="F102" s="96"/>
      <c r="Q102" s="261" t="s">
        <v>600</v>
      </c>
      <c r="U102" s="256">
        <v>0.1</v>
      </c>
    </row>
    <row r="103" spans="1:23" x14ac:dyDescent="0.2">
      <c r="A103" s="26" t="s">
        <v>114</v>
      </c>
      <c r="B103" s="95"/>
      <c r="C103" s="95"/>
      <c r="D103" s="95"/>
      <c r="E103" s="95"/>
      <c r="F103" s="96"/>
      <c r="Q103" s="261" t="s">
        <v>601</v>
      </c>
      <c r="U103" s="16">
        <f>U84</f>
        <v>20000</v>
      </c>
      <c r="V103" s="16">
        <v>0.35</v>
      </c>
      <c r="W103" s="16" t="s">
        <v>598</v>
      </c>
    </row>
    <row r="104" spans="1:23" x14ac:dyDescent="0.2">
      <c r="A104" s="26" t="s">
        <v>139</v>
      </c>
      <c r="B104" s="64">
        <f>(B100-B85)*B101</f>
        <v>72817.891588530576</v>
      </c>
      <c r="C104" s="64">
        <f>B104-(B100-B85)*C101</f>
        <v>3302.8319183142448</v>
      </c>
      <c r="D104" s="64">
        <f>(B100-B85)*C101-(B100-B85)*D101</f>
        <v>20.284006437010248</v>
      </c>
      <c r="E104" s="64">
        <f>(B100-B85)*D101-(B100-B85)*E101</f>
        <v>569.59047860046849</v>
      </c>
      <c r="F104" s="64">
        <f>(B100-B85)*E101-(B100-B85)*F101</f>
        <v>1.0968597833707463</v>
      </c>
      <c r="Q104" s="261" t="s">
        <v>602</v>
      </c>
      <c r="U104" s="256">
        <v>0.05</v>
      </c>
    </row>
    <row r="105" spans="1:23" x14ac:dyDescent="0.2">
      <c r="A105" s="26"/>
      <c r="B105" s="95"/>
      <c r="C105" s="95"/>
      <c r="D105" s="95"/>
      <c r="E105" s="95"/>
      <c r="F105" s="96"/>
    </row>
    <row r="106" spans="1:23" x14ac:dyDescent="0.2">
      <c r="A106" s="24" t="s">
        <v>140</v>
      </c>
      <c r="B106" s="64">
        <f>B99-B104</f>
        <v>28851720.685764074</v>
      </c>
      <c r="C106" s="64">
        <f>C99+C104</f>
        <v>36171430.228217728</v>
      </c>
      <c r="D106" s="64">
        <f>D99+D104</f>
        <v>36157594.074620962</v>
      </c>
      <c r="E106" s="64">
        <f>E99+E104</f>
        <v>35861790.028431505</v>
      </c>
      <c r="F106" s="65">
        <f>F99+F104</f>
        <v>35860650.847474307</v>
      </c>
    </row>
    <row r="107" spans="1:23" x14ac:dyDescent="0.2">
      <c r="A107" s="26"/>
      <c r="B107" s="84"/>
      <c r="C107" s="84"/>
      <c r="D107" s="84"/>
      <c r="E107" s="84"/>
      <c r="F107" s="85"/>
    </row>
    <row r="108" spans="1:23" x14ac:dyDescent="0.2">
      <c r="A108" s="24" t="s">
        <v>141</v>
      </c>
      <c r="B108" s="64">
        <f>B60</f>
        <v>7923202.6351312045</v>
      </c>
      <c r="C108" s="64">
        <f>C60</f>
        <v>8468112.7974329088</v>
      </c>
      <c r="D108" s="64">
        <f>D60</f>
        <v>8468112.7974329088</v>
      </c>
      <c r="E108" s="64">
        <f>E60</f>
        <v>8468112.7974329088</v>
      </c>
      <c r="F108" s="65">
        <f>F60</f>
        <v>8468112.7974329088</v>
      </c>
    </row>
    <row r="109" spans="1:23" x14ac:dyDescent="0.2">
      <c r="A109" s="24" t="s">
        <v>142</v>
      </c>
      <c r="B109" s="93">
        <f>B77</f>
        <v>15240541.729798123</v>
      </c>
      <c r="C109" s="93">
        <f>C77</f>
        <v>18476187.370498456</v>
      </c>
      <c r="D109" s="93">
        <f>D77</f>
        <v>18476187.370498456</v>
      </c>
      <c r="E109" s="93">
        <f>E77</f>
        <v>18476187.370498456</v>
      </c>
      <c r="F109" s="94">
        <f>F77</f>
        <v>18476187.370498456</v>
      </c>
    </row>
    <row r="110" spans="1:23" x14ac:dyDescent="0.2">
      <c r="A110" s="26"/>
      <c r="B110" s="95"/>
      <c r="C110" s="95"/>
      <c r="D110" s="95"/>
      <c r="E110" s="95"/>
      <c r="F110" s="96"/>
    </row>
    <row r="111" spans="1:23" x14ac:dyDescent="0.2">
      <c r="A111" s="24" t="s">
        <v>143</v>
      </c>
      <c r="B111" s="93">
        <f>B106+B108+B109</f>
        <v>52015465.0506934</v>
      </c>
      <c r="C111" s="93">
        <f>C106+C108+C109</f>
        <v>63115730.396149091</v>
      </c>
      <c r="D111" s="93">
        <f>D106+D108+D109</f>
        <v>63101894.242552325</v>
      </c>
      <c r="E111" s="93">
        <f>E106+E108+E109</f>
        <v>62806090.196362868</v>
      </c>
      <c r="F111" s="94">
        <f>F106+F108+F109</f>
        <v>62804951.01540567</v>
      </c>
    </row>
    <row r="112" spans="1:23" x14ac:dyDescent="0.2">
      <c r="A112" s="26"/>
      <c r="B112" s="95"/>
      <c r="C112" s="95"/>
      <c r="D112" s="95"/>
      <c r="E112" s="95"/>
      <c r="F112" s="96"/>
    </row>
    <row r="113" spans="1:6" x14ac:dyDescent="0.2">
      <c r="A113" s="24" t="s">
        <v>144</v>
      </c>
      <c r="B113" s="93">
        <f>B111/B100</f>
        <v>6.4802469848020348</v>
      </c>
      <c r="C113" s="93">
        <f>C111/C100</f>
        <v>6.0031321117149927</v>
      </c>
      <c r="D113" s="93">
        <f>D111/D100</f>
        <v>6.0018161124001148</v>
      </c>
      <c r="E113" s="93">
        <f>E111/E100</f>
        <v>5.9736812756912689</v>
      </c>
      <c r="F113" s="94">
        <f>F111/F100</f>
        <v>5.9735729246709726</v>
      </c>
    </row>
    <row r="114" spans="1:6" x14ac:dyDescent="0.2">
      <c r="A114" s="26"/>
      <c r="B114" s="95"/>
      <c r="C114" s="95"/>
      <c r="D114" s="95"/>
      <c r="E114" s="95"/>
      <c r="F114" s="96"/>
    </row>
    <row r="115" spans="1:6" x14ac:dyDescent="0.2">
      <c r="A115" s="24" t="s">
        <v>145</v>
      </c>
      <c r="B115" s="93">
        <f>B87-B111</f>
        <v>52069873.4493066</v>
      </c>
      <c r="C115" s="93">
        <f>C87-C111</f>
        <v>73563669.603850901</v>
      </c>
      <c r="D115" s="93">
        <f>D87-D111</f>
        <v>73577505.757447675</v>
      </c>
      <c r="E115" s="93">
        <f>E87-E111</f>
        <v>73873309.803637132</v>
      </c>
      <c r="F115" s="94">
        <f>F87-F111</f>
        <v>73874448.98459433</v>
      </c>
    </row>
    <row r="116" spans="1:6" x14ac:dyDescent="0.2">
      <c r="A116" s="24" t="s">
        <v>3</v>
      </c>
      <c r="B116" s="93">
        <f>InfoInicial!B5*'E-Costos'!B115</f>
        <v>4686288.6104375934</v>
      </c>
      <c r="C116" s="93">
        <f>InfoInicial!B5*'E-Costos'!C115</f>
        <v>6620730.264346581</v>
      </c>
      <c r="D116" s="93">
        <f>InfoInicial!B5*'E-Costos'!D115</f>
        <v>6621975.5181702906</v>
      </c>
      <c r="E116" s="93">
        <f>InfoInicial!B5*'E-Costos'!E115</f>
        <v>6648597.8823273415</v>
      </c>
      <c r="F116" s="93">
        <f>InfoInicial!B5*'E-Costos'!F115</f>
        <v>6648700.408613489</v>
      </c>
    </row>
    <row r="117" spans="1:6" x14ac:dyDescent="0.2">
      <c r="A117" s="45" t="s">
        <v>146</v>
      </c>
      <c r="B117" s="93">
        <f>('E-Costos'!B115-'E-Costos'!B116)*InfoInicial!B4</f>
        <v>16584254.693604151</v>
      </c>
      <c r="C117" s="93">
        <f>('E-Costos'!C115-'E-Costos'!C116)*InfoInicial!B4</f>
        <v>23430028.768826511</v>
      </c>
      <c r="D117" s="93">
        <f>('E-Costos'!D115-'E-Costos'!D116)*InfoInicial!B4</f>
        <v>23434435.583747085</v>
      </c>
      <c r="E117" s="93">
        <f>('E-Costos'!E115-'E-Costos'!E116)*InfoInicial!B4</f>
        <v>23528649.172458421</v>
      </c>
      <c r="F117" s="93">
        <f>('E-Costos'!F115-'E-Costos'!F116)*InfoInicial!B4</f>
        <v>23529012.001593292</v>
      </c>
    </row>
    <row r="118" spans="1:6" x14ac:dyDescent="0.2">
      <c r="A118" s="24"/>
      <c r="B118" s="95"/>
      <c r="C118" s="95"/>
      <c r="D118" s="95"/>
      <c r="E118" s="95"/>
      <c r="F118" s="96"/>
    </row>
    <row r="119" spans="1:6" x14ac:dyDescent="0.2">
      <c r="A119" s="45" t="s">
        <v>147</v>
      </c>
      <c r="B119" s="93">
        <f>B115-B116-B117</f>
        <v>30799330.145264857</v>
      </c>
      <c r="C119" s="93">
        <f t="shared" ref="C119:F119" si="10">C115-C116-C117</f>
        <v>43512910.570677802</v>
      </c>
      <c r="D119" s="93">
        <f t="shared" si="10"/>
        <v>43521094.655530304</v>
      </c>
      <c r="E119" s="93">
        <f t="shared" si="10"/>
        <v>43696062.748851359</v>
      </c>
      <c r="F119" s="93">
        <f t="shared" si="10"/>
        <v>43696736.57438755</v>
      </c>
    </row>
    <row r="120" spans="1:6" x14ac:dyDescent="0.2">
      <c r="A120" s="24" t="s">
        <v>148</v>
      </c>
      <c r="B120" s="322">
        <f>B119/B87</f>
        <v>0.29590459702703331</v>
      </c>
      <c r="C120" s="322">
        <f t="shared" ref="C120:F120" si="11">C119/C87</f>
        <v>0.31835748891696775</v>
      </c>
      <c r="D120" s="322">
        <f t="shared" si="11"/>
        <v>0.31841736688579481</v>
      </c>
      <c r="E120" s="322">
        <f t="shared" si="11"/>
        <v>0.31969750195604724</v>
      </c>
      <c r="F120" s="322">
        <f t="shared" si="11"/>
        <v>0.31970243192747078</v>
      </c>
    </row>
    <row r="121" spans="1:6" x14ac:dyDescent="0.2">
      <c r="A121" s="24"/>
      <c r="B121" s="99"/>
      <c r="C121" s="99"/>
      <c r="D121" s="99"/>
      <c r="E121" s="99"/>
      <c r="F121" s="100"/>
    </row>
    <row r="122" spans="1:6" x14ac:dyDescent="0.2">
      <c r="A122" s="24" t="s">
        <v>149</v>
      </c>
      <c r="B122" s="97"/>
      <c r="C122" s="97"/>
      <c r="D122" s="97"/>
      <c r="E122" s="97"/>
      <c r="F122" s="98"/>
    </row>
    <row r="123" spans="1:6" x14ac:dyDescent="0.2">
      <c r="A123" s="45" t="s">
        <v>150</v>
      </c>
      <c r="B123" s="323">
        <f>B119</f>
        <v>30799330.145264857</v>
      </c>
      <c r="C123" s="323">
        <f>C119</f>
        <v>43512910.570677802</v>
      </c>
      <c r="D123" s="323">
        <f>D119</f>
        <v>43521094.655530304</v>
      </c>
      <c r="E123" s="323">
        <f>E119</f>
        <v>43696062.748851359</v>
      </c>
      <c r="F123" s="323">
        <f>F119</f>
        <v>43696736.57438755</v>
      </c>
    </row>
    <row r="124" spans="1:6" x14ac:dyDescent="0.2">
      <c r="A124" s="24" t="s">
        <v>151</v>
      </c>
      <c r="B124" s="324">
        <f>'E-Inv AF y Am'!D56</f>
        <v>4549907.2293160409</v>
      </c>
      <c r="C124" s="324">
        <f>'E-Inv AF y Am'!D56</f>
        <v>4549907.2293160409</v>
      </c>
      <c r="D124" s="324">
        <f>'E-Inv AF y Am'!D56</f>
        <v>4549907.2293160409</v>
      </c>
      <c r="E124" s="324">
        <f>'E-Inv AF y Am'!E56</f>
        <v>4258805.2293160409</v>
      </c>
      <c r="F124" s="325">
        <f>'E-Inv AF y Am'!E56</f>
        <v>4258805.2293160409</v>
      </c>
    </row>
    <row r="125" spans="1:6" x14ac:dyDescent="0.2">
      <c r="A125" s="34" t="s">
        <v>152</v>
      </c>
      <c r="B125" s="326">
        <f>B123+B124</f>
        <v>35349237.374580897</v>
      </c>
      <c r="C125" s="326">
        <f t="shared" ref="C125:F125" si="12">C123+C124</f>
        <v>48062817.799993843</v>
      </c>
      <c r="D125" s="326">
        <f t="shared" si="12"/>
        <v>48071001.884846345</v>
      </c>
      <c r="E125" s="326">
        <f t="shared" si="12"/>
        <v>47954867.9781674</v>
      </c>
      <c r="F125" s="326">
        <f t="shared" si="12"/>
        <v>47955541.803703591</v>
      </c>
    </row>
    <row r="126" spans="1:6" x14ac:dyDescent="0.2">
      <c r="A126" s="24"/>
      <c r="B126" s="29"/>
      <c r="C126" s="29"/>
      <c r="D126" s="29"/>
      <c r="E126" s="29"/>
      <c r="F126" s="101"/>
    </row>
    <row r="127" spans="1:6" x14ac:dyDescent="0.2">
      <c r="A127" s="24" t="s">
        <v>153</v>
      </c>
      <c r="B127" s="27">
        <f>B46*B43</f>
        <v>10968741.824977266</v>
      </c>
      <c r="C127" s="27">
        <f t="shared" ref="C127:F127" si="13">C46*C43</f>
        <v>13158236.10224231</v>
      </c>
      <c r="D127" s="27">
        <f t="shared" si="13"/>
        <v>13154396.621314524</v>
      </c>
      <c r="E127" s="27">
        <f t="shared" si="13"/>
        <v>12857677.195476754</v>
      </c>
      <c r="F127" s="27">
        <f t="shared" si="13"/>
        <v>12857472.581314525</v>
      </c>
    </row>
    <row r="128" spans="1:6" x14ac:dyDescent="0.2">
      <c r="A128" s="45" t="s">
        <v>154</v>
      </c>
      <c r="B128" s="27">
        <f>B47*B43</f>
        <v>17955796.752375338</v>
      </c>
      <c r="C128" s="27">
        <f t="shared" ref="C128:F128" si="14">C47*C43</f>
        <v>23009891.294057108</v>
      </c>
      <c r="D128" s="27">
        <f t="shared" si="14"/>
        <v>23003177.169300001</v>
      </c>
      <c r="E128" s="27">
        <f t="shared" si="14"/>
        <v>23003543.242476154</v>
      </c>
      <c r="F128" s="27">
        <f t="shared" si="14"/>
        <v>23003177.169300001</v>
      </c>
    </row>
    <row r="129" spans="1:6" x14ac:dyDescent="0.2">
      <c r="A129" s="24" t="s">
        <v>155</v>
      </c>
      <c r="B129" s="27">
        <f>B62*B60</f>
        <v>7923202.6351312045</v>
      </c>
      <c r="C129" s="27">
        <f t="shared" ref="C129:F129" si="15">C62*C60</f>
        <v>8468112.7974329088</v>
      </c>
      <c r="D129" s="27">
        <f t="shared" si="15"/>
        <v>8468112.7974329088</v>
      </c>
      <c r="E129" s="27">
        <f t="shared" si="15"/>
        <v>8468112.7974329088</v>
      </c>
      <c r="F129" s="27">
        <f t="shared" si="15"/>
        <v>8468112.7974329088</v>
      </c>
    </row>
    <row r="130" spans="1:6" x14ac:dyDescent="0.2">
      <c r="A130" s="45" t="s">
        <v>156</v>
      </c>
      <c r="B130" s="27">
        <v>0</v>
      </c>
      <c r="C130" s="27">
        <v>0</v>
      </c>
      <c r="D130" s="27">
        <v>0</v>
      </c>
      <c r="E130" s="27">
        <v>0</v>
      </c>
      <c r="F130" s="44">
        <v>0</v>
      </c>
    </row>
    <row r="131" spans="1:6" x14ac:dyDescent="0.2">
      <c r="A131" s="24" t="s">
        <v>157</v>
      </c>
      <c r="B131" s="27">
        <f>B79*B77</f>
        <v>8538820.9140000008</v>
      </c>
      <c r="C131" s="27">
        <f t="shared" ref="C131:F131" si="16">C79*C77</f>
        <v>11162501.460000001</v>
      </c>
      <c r="D131" s="27">
        <f t="shared" si="16"/>
        <v>11162501.460000001</v>
      </c>
      <c r="E131" s="27">
        <f t="shared" si="16"/>
        <v>11162501.460000001</v>
      </c>
      <c r="F131" s="27">
        <f t="shared" si="16"/>
        <v>11162501.460000001</v>
      </c>
    </row>
    <row r="132" spans="1:6" x14ac:dyDescent="0.2">
      <c r="A132" s="45" t="s">
        <v>158</v>
      </c>
      <c r="B132" s="27">
        <f>B80*B77</f>
        <v>6701720.8157981224</v>
      </c>
      <c r="C132" s="27">
        <f t="shared" ref="C132:F132" si="17">C80*C77</f>
        <v>7313685.9104984542</v>
      </c>
      <c r="D132" s="27">
        <f t="shared" si="17"/>
        <v>7313685.9104984542</v>
      </c>
      <c r="E132" s="27">
        <f t="shared" si="17"/>
        <v>7313685.9104984542</v>
      </c>
      <c r="F132" s="27">
        <f t="shared" si="17"/>
        <v>7313685.9104984542</v>
      </c>
    </row>
    <row r="133" spans="1:6" x14ac:dyDescent="0.2">
      <c r="A133" s="24" t="s">
        <v>159</v>
      </c>
      <c r="B133" s="27">
        <f>B86-B101</f>
        <v>9.3964918179621151</v>
      </c>
      <c r="C133" s="27">
        <f t="shared" ref="C133:F133" si="18">C86-C101</f>
        <v>9.5599376632331392</v>
      </c>
      <c r="D133" s="27">
        <f t="shared" si="18"/>
        <v>9.5609414492748073</v>
      </c>
      <c r="E133" s="27">
        <f t="shared" si="18"/>
        <v>9.5891285322192825</v>
      </c>
      <c r="F133" s="27">
        <f t="shared" si="18"/>
        <v>9.589182812055153</v>
      </c>
    </row>
    <row r="134" spans="1:6" x14ac:dyDescent="0.2">
      <c r="A134" s="34" t="s">
        <v>160</v>
      </c>
      <c r="B134" s="31"/>
      <c r="C134" s="31"/>
      <c r="D134" s="31"/>
      <c r="E134" s="31"/>
      <c r="F134" s="54"/>
    </row>
    <row r="135" spans="1:6" ht="15.75" x14ac:dyDescent="0.25">
      <c r="A135" s="102" t="s">
        <v>161</v>
      </c>
    </row>
  </sheetData>
  <sheetProtection selectLockedCells="1" selectUnlockedCells="1"/>
  <mergeCells count="52">
    <mergeCell ref="J98:K98"/>
    <mergeCell ref="T94:U94"/>
    <mergeCell ref="Q82:T82"/>
    <mergeCell ref="Q83:T83"/>
    <mergeCell ref="Q84:T84"/>
    <mergeCell ref="Q85:T85"/>
    <mergeCell ref="Q86:T86"/>
    <mergeCell ref="Q87:T87"/>
    <mergeCell ref="J87:O87"/>
    <mergeCell ref="J94:K94"/>
    <mergeCell ref="J95:K95"/>
    <mergeCell ref="J96:K96"/>
    <mergeCell ref="J97:K97"/>
    <mergeCell ref="J84:O84"/>
    <mergeCell ref="J85:O85"/>
    <mergeCell ref="J86:O86"/>
    <mergeCell ref="J43:K43"/>
    <mergeCell ref="O37:P37"/>
    <mergeCell ref="J12:L12"/>
    <mergeCell ref="J22:K22"/>
    <mergeCell ref="J21:K21"/>
    <mergeCell ref="J20:K20"/>
    <mergeCell ref="J19:K19"/>
    <mergeCell ref="J18:K18"/>
    <mergeCell ref="J17:K17"/>
    <mergeCell ref="J16:K16"/>
    <mergeCell ref="J15:K15"/>
    <mergeCell ref="J14:K14"/>
    <mergeCell ref="J25:K25"/>
    <mergeCell ref="O35:P35"/>
    <mergeCell ref="O36:P36"/>
    <mergeCell ref="J63:K63"/>
    <mergeCell ref="O57:P57"/>
    <mergeCell ref="J46:K46"/>
    <mergeCell ref="J45:K45"/>
    <mergeCell ref="J44:K44"/>
    <mergeCell ref="J79:O79"/>
    <mergeCell ref="J81:O81"/>
    <mergeCell ref="J82:O82"/>
    <mergeCell ref="J83:O83"/>
    <mergeCell ref="J60:K60"/>
    <mergeCell ref="J69:K69"/>
    <mergeCell ref="J71:K71"/>
    <mergeCell ref="J76:K76"/>
    <mergeCell ref="J75:K75"/>
    <mergeCell ref="J74:K74"/>
    <mergeCell ref="J73:K73"/>
    <mergeCell ref="J72:K72"/>
    <mergeCell ref="J62:K62"/>
    <mergeCell ref="J66:K66"/>
    <mergeCell ref="J65:K65"/>
    <mergeCell ref="J64:K64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workbookViewId="0">
      <selection activeCell="C28" sqref="C28"/>
    </sheetView>
  </sheetViews>
  <sheetFormatPr defaultColWidth="11.42578125" defaultRowHeight="12.75" x14ac:dyDescent="0.2"/>
  <cols>
    <col min="1" max="1" width="45.5703125" style="16" customWidth="1"/>
    <col min="2" max="7" width="14.85546875" style="16" customWidth="1"/>
    <col min="8" max="8" width="17.42578125" style="16" customWidth="1"/>
    <col min="9" max="9" width="11.42578125" style="16"/>
    <col min="10" max="10" width="20.7109375" style="16" customWidth="1"/>
    <col min="11" max="16384" width="11.42578125" style="16"/>
  </cols>
  <sheetData>
    <row r="1" spans="1:12" x14ac:dyDescent="0.2">
      <c r="A1" s="1" t="s">
        <v>0</v>
      </c>
      <c r="B1"/>
      <c r="C1"/>
      <c r="D1"/>
      <c r="E1" s="2">
        <f>InfoInicial!E1</f>
        <v>1</v>
      </c>
    </row>
    <row r="2" spans="1:12" x14ac:dyDescent="0.2">
      <c r="A2" s="1"/>
      <c r="B2"/>
      <c r="C2"/>
      <c r="D2"/>
      <c r="E2" s="103"/>
    </row>
    <row r="3" spans="1:12" ht="15.75" x14ac:dyDescent="0.25">
      <c r="A3" s="56" t="s">
        <v>162</v>
      </c>
      <c r="B3" s="57"/>
      <c r="C3" s="57"/>
      <c r="D3" s="57"/>
      <c r="E3" s="57"/>
      <c r="F3" s="57"/>
      <c r="G3" s="58"/>
    </row>
    <row r="4" spans="1:12" x14ac:dyDescent="0.2">
      <c r="A4" s="59" t="s">
        <v>88</v>
      </c>
      <c r="B4" s="21" t="s">
        <v>47</v>
      </c>
      <c r="C4" s="21" t="s">
        <v>48</v>
      </c>
      <c r="D4" s="21" t="s">
        <v>89</v>
      </c>
      <c r="E4" s="21" t="s">
        <v>90</v>
      </c>
      <c r="F4" s="21" t="s">
        <v>91</v>
      </c>
      <c r="G4" s="22" t="s">
        <v>92</v>
      </c>
    </row>
    <row r="5" spans="1:12" x14ac:dyDescent="0.2">
      <c r="A5" s="104" t="s">
        <v>163</v>
      </c>
      <c r="B5" s="105"/>
      <c r="C5" s="105"/>
      <c r="D5" s="105"/>
      <c r="E5" s="105"/>
      <c r="F5" s="105"/>
      <c r="G5" s="106"/>
      <c r="J5" s="16" t="s">
        <v>603</v>
      </c>
      <c r="K5" s="256">
        <v>0.03</v>
      </c>
      <c r="L5" s="16" t="s">
        <v>608</v>
      </c>
    </row>
    <row r="6" spans="1:12" x14ac:dyDescent="0.2">
      <c r="A6" s="104" t="s">
        <v>164</v>
      </c>
      <c r="B6" s="64">
        <f>C6*0.8</f>
        <v>3280305.6</v>
      </c>
      <c r="C6" s="64">
        <f>K5*'E-Costos'!C87</f>
        <v>4100382</v>
      </c>
      <c r="D6" s="64">
        <f>C6</f>
        <v>4100382</v>
      </c>
      <c r="E6" s="64">
        <f>C6</f>
        <v>4100382</v>
      </c>
      <c r="F6" s="64">
        <f>C6</f>
        <v>4100382</v>
      </c>
      <c r="G6" s="65">
        <f>C6</f>
        <v>4100382</v>
      </c>
      <c r="J6" s="16" t="s">
        <v>604</v>
      </c>
      <c r="K6" s="16">
        <v>30</v>
      </c>
      <c r="L6" s="16" t="s">
        <v>606</v>
      </c>
    </row>
    <row r="7" spans="1:12" x14ac:dyDescent="0.2">
      <c r="A7" s="104" t="s">
        <v>165</v>
      </c>
      <c r="B7" s="64">
        <v>0</v>
      </c>
      <c r="C7" s="64">
        <f>(K6/365)*'E-Costos'!C87</f>
        <v>11233923.287671233</v>
      </c>
      <c r="D7" s="64">
        <f>C7</f>
        <v>11233923.287671233</v>
      </c>
      <c r="E7" s="64">
        <f>C7</f>
        <v>11233923.287671233</v>
      </c>
      <c r="F7" s="64">
        <f>C7</f>
        <v>11233923.287671233</v>
      </c>
      <c r="G7" s="65">
        <f>C7</f>
        <v>11233923.287671233</v>
      </c>
      <c r="J7" s="16" t="s">
        <v>605</v>
      </c>
      <c r="K7" s="16">
        <v>2</v>
      </c>
      <c r="L7" s="16" t="s">
        <v>607</v>
      </c>
    </row>
    <row r="8" spans="1:12" x14ac:dyDescent="0.2">
      <c r="A8" s="107"/>
      <c r="B8" s="84"/>
      <c r="C8" s="84"/>
      <c r="D8" s="84"/>
      <c r="E8" s="84"/>
      <c r="F8" s="84"/>
      <c r="G8" s="85"/>
      <c r="J8" s="16" t="s">
        <v>612</v>
      </c>
      <c r="K8" s="16">
        <v>3</v>
      </c>
      <c r="L8" s="16" t="s">
        <v>607</v>
      </c>
    </row>
    <row r="9" spans="1:12" x14ac:dyDescent="0.2">
      <c r="A9" s="104" t="s">
        <v>166</v>
      </c>
      <c r="B9" s="84">
        <f>SUM(B10:B13)</f>
        <v>729925.98762582371</v>
      </c>
      <c r="C9" s="84">
        <f t="shared" ref="C9:G9" si="0">SUM(C10:C13)</f>
        <v>437321.74546947918</v>
      </c>
      <c r="D9" s="84">
        <f t="shared" si="0"/>
        <v>463825.88662320626</v>
      </c>
      <c r="E9" s="84">
        <f t="shared" si="0"/>
        <v>463805.60261676926</v>
      </c>
      <c r="F9" s="84">
        <f t="shared" si="0"/>
        <v>462665.32479978492</v>
      </c>
      <c r="G9" s="84">
        <f t="shared" si="0"/>
        <v>462664.22794000152</v>
      </c>
    </row>
    <row r="10" spans="1:12" x14ac:dyDescent="0.2">
      <c r="A10" s="107" t="s">
        <v>167</v>
      </c>
      <c r="B10" s="64">
        <f>K12*'E-Costos'!K6*InfoInicial!B32+'E-Costos'!K7*'E-InvAT'!K13</f>
        <v>502361.60960000008</v>
      </c>
      <c r="C10" s="64">
        <v>0</v>
      </c>
      <c r="D10" s="64">
        <v>0</v>
      </c>
      <c r="E10" s="64">
        <v>0</v>
      </c>
      <c r="F10" s="64">
        <v>0</v>
      </c>
      <c r="G10" s="65">
        <v>0</v>
      </c>
    </row>
    <row r="11" spans="1:12" x14ac:dyDescent="0.2">
      <c r="A11" s="107" t="s">
        <v>168</v>
      </c>
      <c r="B11" s="64">
        <f>C11*0.8</f>
        <v>227564.37802582365</v>
      </c>
      <c r="C11" s="64">
        <f>'E-Costos'!B70/12+'E-Costos'!B54/12+'E-Costos'!B12*3/12</f>
        <v>284455.47253227956</v>
      </c>
      <c r="D11" s="64">
        <f>'E-Costos'!C70/12+'E-Costos'!C54/12+'E-Costos'!C12*3/12</f>
        <v>324816.05128921056</v>
      </c>
      <c r="E11" s="64">
        <f>'E-Costos'!D70/12+'E-Costos'!D54/12+'E-Costos'!D12*3/12</f>
        <v>324816.05128921056</v>
      </c>
      <c r="F11" s="64">
        <f>'E-Costos'!E70/12+'E-Costos'!E54/12+'E-Costos'!E12*3/12</f>
        <v>324816.05128921056</v>
      </c>
      <c r="G11" s="64">
        <f>'E-Costos'!F70/12+'E-Costos'!F54/12+'E-Costos'!F12*3/12</f>
        <v>324816.05128921056</v>
      </c>
    </row>
    <row r="12" spans="1:12" x14ac:dyDescent="0.2">
      <c r="A12" s="107" t="s">
        <v>169</v>
      </c>
      <c r="B12" s="64">
        <v>0</v>
      </c>
      <c r="C12" s="64">
        <f>'E-Costos'!B35</f>
        <v>80048.381348669063</v>
      </c>
      <c r="D12" s="64">
        <f>'E-Costos'!C35</f>
        <v>69494.775663779335</v>
      </c>
      <c r="E12" s="64">
        <f>'E-Costos'!D35</f>
        <v>69494.775663779335</v>
      </c>
      <c r="F12" s="64">
        <f>'E-Costos'!E35</f>
        <v>68924.088325395482</v>
      </c>
      <c r="G12" s="64">
        <f>'E-Costos'!F35</f>
        <v>68924.088325395482</v>
      </c>
      <c r="J12" s="16" t="s">
        <v>609</v>
      </c>
      <c r="K12" s="16">
        <v>11995.51</v>
      </c>
      <c r="L12" s="16" t="s">
        <v>533</v>
      </c>
    </row>
    <row r="13" spans="1:12" x14ac:dyDescent="0.2">
      <c r="A13" s="107" t="s">
        <v>170</v>
      </c>
      <c r="B13" s="64">
        <v>0</v>
      </c>
      <c r="C13" s="64">
        <f>('E-Costos'!B100-'E-Costos'!B85)*'E-Costos'!B101</f>
        <v>72817.891588530576</v>
      </c>
      <c r="D13" s="64">
        <f>'E-Costos'!C101*('E-Costos'!B100-'E-Costos'!B85)</f>
        <v>69515.059670216331</v>
      </c>
      <c r="E13" s="64">
        <f>'E-Costos'!D101*('E-Costos'!B100-'E-Costos'!B85)</f>
        <v>69494.775663779321</v>
      </c>
      <c r="F13" s="64">
        <f>'E-Costos'!E101*('E-Costos'!B100-'E-Costos'!B85)</f>
        <v>68925.185185178852</v>
      </c>
      <c r="G13" s="64">
        <f>'E-Costos'!F101*('E-Costos'!B100-'E-Costos'!B85)</f>
        <v>68924.088325395482</v>
      </c>
      <c r="J13" s="16" t="s">
        <v>610</v>
      </c>
      <c r="K13" s="16">
        <f>(595782+'E-Costos'!S42)*40</f>
        <v>24639580</v>
      </c>
      <c r="L13" s="16" t="s">
        <v>611</v>
      </c>
    </row>
    <row r="14" spans="1:12" x14ac:dyDescent="0.2">
      <c r="A14" s="107"/>
      <c r="B14" s="84"/>
      <c r="C14" s="84"/>
      <c r="D14" s="84"/>
      <c r="E14" s="84"/>
      <c r="F14" s="84"/>
      <c r="G14" s="85"/>
    </row>
    <row r="15" spans="1:12" x14ac:dyDescent="0.2">
      <c r="A15" s="104" t="s">
        <v>171</v>
      </c>
      <c r="B15" s="64">
        <f>B9+B7+B6</f>
        <v>4010231.5876258239</v>
      </c>
      <c r="C15" s="64">
        <f>C9+C7+C6</f>
        <v>15771627.033140711</v>
      </c>
      <c r="D15" s="64">
        <f t="shared" ref="D15:G15" si="1">D9+D7+D6</f>
        <v>15798131.174294438</v>
      </c>
      <c r="E15" s="64">
        <f t="shared" si="1"/>
        <v>15798110.890288003</v>
      </c>
      <c r="F15" s="64">
        <f t="shared" si="1"/>
        <v>15796970.612471018</v>
      </c>
      <c r="G15" s="64">
        <f t="shared" si="1"/>
        <v>15796969.515611235</v>
      </c>
    </row>
    <row r="16" spans="1:12" x14ac:dyDescent="0.2">
      <c r="A16" s="104" t="s">
        <v>172</v>
      </c>
      <c r="B16" s="84"/>
      <c r="C16" s="84"/>
      <c r="D16" s="84"/>
      <c r="E16" s="84"/>
      <c r="F16" s="84"/>
      <c r="G16" s="85"/>
    </row>
    <row r="17" spans="1:15" x14ac:dyDescent="0.2">
      <c r="A17" s="107" t="s">
        <v>173</v>
      </c>
      <c r="B17" s="64">
        <v>0</v>
      </c>
      <c r="C17" s="64">
        <f>'E-Costos'!B28</f>
        <v>10382.289377256948</v>
      </c>
      <c r="D17" s="64">
        <f>'E-Costos'!C28</f>
        <v>7926.3700725963499</v>
      </c>
      <c r="E17" s="64">
        <f>'E-Costos'!D28</f>
        <v>7926.3700725963499</v>
      </c>
      <c r="F17" s="64">
        <f>'E-Costos'!E28</f>
        <v>7366.872682023959</v>
      </c>
      <c r="G17" s="64">
        <f>'E-Costos'!F28</f>
        <v>7366.872682023959</v>
      </c>
      <c r="J17" s="16" t="s">
        <v>613</v>
      </c>
    </row>
    <row r="18" spans="1:15" x14ac:dyDescent="0.2">
      <c r="A18" s="107" t="s">
        <v>174</v>
      </c>
      <c r="B18" s="64">
        <v>0</v>
      </c>
      <c r="C18" s="64">
        <f>('E-Costos'!B10-'E-Costos'!B28)/'E-Costos'!B100*('E-Costos'!B100-'E-Costos'!B85)</f>
        <v>10356.151832476689</v>
      </c>
      <c r="D18" s="64">
        <f>('E-Costos'!C10-'E-Costos'!C28)/'E-Costos'!C100*('E-Costos'!B100-'E-Costos'!B85)</f>
        <v>7911.1356071088958</v>
      </c>
      <c r="E18" s="64">
        <f>('E-Costos'!D10-'E-Costos'!D28)/'E-Costos'!D100*('E-Costos'!B100-'E-Costos'!B85)</f>
        <v>7911.1356071088958</v>
      </c>
      <c r="F18" s="64">
        <f>('E-Costos'!E10-'E-Costos'!E28)/'E-Costos'!E100*('E-Costos'!B100-'E-Costos'!B85)</f>
        <v>7352.7135692653001</v>
      </c>
      <c r="G18" s="64">
        <f>('E-Costos'!F10-'E-Costos'!F28)/'E-Costos'!F100*('E-Costos'!B100-'E-Costos'!B85)</f>
        <v>7352.7135692653001</v>
      </c>
      <c r="K18" s="319" t="s">
        <v>615</v>
      </c>
      <c r="L18" s="319" t="s">
        <v>616</v>
      </c>
      <c r="M18" s="319" t="s">
        <v>617</v>
      </c>
      <c r="N18" s="319" t="s">
        <v>618</v>
      </c>
      <c r="O18" s="319" t="s">
        <v>619</v>
      </c>
    </row>
    <row r="19" spans="1:15" x14ac:dyDescent="0.2">
      <c r="A19" s="107" t="s">
        <v>175</v>
      </c>
      <c r="B19" s="64">
        <v>0</v>
      </c>
      <c r="C19" s="64">
        <f>C7*'E-Costos'!B120</f>
        <v>3324169.5434709615</v>
      </c>
      <c r="D19" s="64">
        <f>'E-Costos'!C120*D7</f>
        <v>3576403.6085488601</v>
      </c>
      <c r="E19" s="64">
        <f>E7*'E-Costos'!D120</f>
        <v>3577076.2730572852</v>
      </c>
      <c r="F19" s="64">
        <f>F7*'E-Costos'!E120</f>
        <v>3591457.2122343583</v>
      </c>
      <c r="G19" s="65">
        <f>G7*'E-Costos'!F120</f>
        <v>3591512.5951551409</v>
      </c>
      <c r="J19" s="16" t="s">
        <v>93</v>
      </c>
      <c r="K19" s="329">
        <f>('E-Costos'!B7-'E-Costos'!B25-'E-Costos'!G25)/'E-Costos'!B100*('E-Costos'!B100-'E-Costos'!B85)</f>
        <v>17824.402296121152</v>
      </c>
      <c r="L19" s="329">
        <f>('E-Costos'!C7-'E-Costos'!C25)/'E-Costos'!C100*('E-Costos'!B100-'E-Costos'!B85)</f>
        <v>18967.529134047025</v>
      </c>
      <c r="M19" s="329">
        <f>('E-Costos'!D7-'E-Costos'!D25)/'E-Costos'!D100*('E-Costos'!B100-'E-Costos'!B85)</f>
        <v>18967.529134047025</v>
      </c>
      <c r="N19" s="329">
        <f>('E-Costos'!E7-'E-Costos'!E25)/'E-Costos'!E100*('E-Costos'!B100-'E-Costos'!B85)</f>
        <v>18967.529134047025</v>
      </c>
      <c r="O19" s="329">
        <f>('E-Costos'!F7-'E-Costos'!F25)/'E-Costos'!F100*('E-Costos'!B100-'E-Costos'!B85)</f>
        <v>18967.529134047025</v>
      </c>
    </row>
    <row r="20" spans="1:15" x14ac:dyDescent="0.2">
      <c r="A20" s="107" t="s">
        <v>176</v>
      </c>
      <c r="B20" s="64">
        <v>0</v>
      </c>
      <c r="C20" s="64">
        <f>('E-Inv AF y Am'!D56-'E-InvAT'!C17-'E-InvAT'!C18)/365*30</f>
        <v>372260.4483375047</v>
      </c>
      <c r="D20" s="64">
        <f>('E-Inv AF y Am'!D56-D17-D18)/365*30</f>
        <v>372663.26495641115</v>
      </c>
      <c r="E20" s="64">
        <f>('E-Inv AF y Am'!D56-E17-E18)/365*30</f>
        <v>372663.26495641115</v>
      </c>
      <c r="F20" s="64">
        <f>('E-Inv AF y Am'!D56-F17-F18)/365*30</f>
        <v>372755.14874504815</v>
      </c>
      <c r="G20" s="65">
        <f>('E-Inv AF y Am'!D56-G17-G18)/365*30</f>
        <v>372755.14874504815</v>
      </c>
      <c r="J20" s="16" t="s">
        <v>98</v>
      </c>
      <c r="K20" s="329">
        <f>('E-Costos'!B12-'E-Costos'!G30-'E-Costos'!B30)/'E-Costos'!B100*('E-Costos'!B100-'E-Costos'!B85)</f>
        <v>2018.4065346994616</v>
      </c>
      <c r="L20" s="329">
        <f>('E-Costos'!C12-'E-Costos'!C30)/'E-Costos'!C100*('E-Costos'!B100-'E-Costos'!B85)</f>
        <v>2015.2352139888201</v>
      </c>
      <c r="M20" s="329">
        <f>L20</f>
        <v>2015.2352139888201</v>
      </c>
      <c r="N20" s="329">
        <f>L20</f>
        <v>2015.2352139888201</v>
      </c>
      <c r="O20" s="329">
        <f>L20</f>
        <v>2015.2352139888201</v>
      </c>
    </row>
    <row r="21" spans="1:15" x14ac:dyDescent="0.2">
      <c r="A21" s="107"/>
      <c r="B21" s="84"/>
      <c r="C21" s="84"/>
      <c r="D21" s="84"/>
      <c r="E21" s="84"/>
      <c r="F21" s="84"/>
      <c r="G21" s="85"/>
      <c r="J21" s="16" t="s">
        <v>99</v>
      </c>
      <c r="K21" s="329">
        <f>('E-Costos'!B13-'E-Costos'!B31-'E-Costos'!G31)/'E-Costos'!B100*('E-Costos'!B100-'E-Costos'!B85)</f>
        <v>817.80329134210763</v>
      </c>
      <c r="L21" s="329">
        <f>('E-Costos'!C13-'E-Costos'!C31)/'E-Costos'!C100*('E-Costos'!B100-'E-Costos'!B85)</f>
        <v>816.73389158984241</v>
      </c>
      <c r="M21" s="329">
        <f>L21</f>
        <v>816.73389158984241</v>
      </c>
      <c r="N21" s="330">
        <f>L21</f>
        <v>816.73389158984241</v>
      </c>
      <c r="O21" s="329">
        <f>L21</f>
        <v>816.73389158984241</v>
      </c>
    </row>
    <row r="22" spans="1:15" x14ac:dyDescent="0.2">
      <c r="A22" s="104" t="s">
        <v>177</v>
      </c>
      <c r="B22" s="64">
        <f>B15-B17-B18-B19-B20</f>
        <v>4010231.5876258239</v>
      </c>
      <c r="C22" s="64">
        <f>C15-C17-C18-C19-C20</f>
        <v>12054458.600122511</v>
      </c>
      <c r="D22" s="64">
        <f>D15-D17-D18-D19-D20</f>
        <v>11833226.795109462</v>
      </c>
      <c r="E22" s="64">
        <f>E15-E17-E19-E18-E20</f>
        <v>11832533.846594602</v>
      </c>
      <c r="F22" s="64">
        <f>F15-F17-F18-F19-F20</f>
        <v>11818038.665240321</v>
      </c>
      <c r="G22" s="65">
        <f>G15-G17-G18-G19-G20</f>
        <v>11817982.185459757</v>
      </c>
      <c r="J22" s="16" t="s">
        <v>100</v>
      </c>
      <c r="K22" s="329">
        <f>('E-Costos'!B14-'E-Costos'!B32-'E-Costos'!G32)/'E-Costos'!B100*('E-Costos'!B100-'E-Costos'!B85)</f>
        <v>80.066790287180879</v>
      </c>
      <c r="L22" s="329">
        <f>('E-Costos'!C14-'E-Costos'!C32)/'E-Costos'!C100*('E-Costos'!B100-'E-Costos'!B85)</f>
        <v>79.962091019515611</v>
      </c>
      <c r="M22" s="329">
        <f>L22</f>
        <v>79.962091019515611</v>
      </c>
      <c r="N22" s="329">
        <f>L22</f>
        <v>79.962091019515611</v>
      </c>
      <c r="O22" s="329">
        <f>L22</f>
        <v>79.962091019515611</v>
      </c>
    </row>
    <row r="23" spans="1:15" x14ac:dyDescent="0.2">
      <c r="A23" s="107"/>
      <c r="B23" s="84"/>
      <c r="C23" s="84"/>
      <c r="D23" s="84"/>
      <c r="E23" s="84"/>
      <c r="F23" s="84"/>
      <c r="G23" s="85"/>
      <c r="J23" s="16" t="s">
        <v>152</v>
      </c>
      <c r="K23" s="329">
        <f>(K19+K20+K21+K22)*InfoInicial!B3</f>
        <v>4355.5425716144791</v>
      </c>
      <c r="L23" s="329">
        <f>(L19+L20+L21+L22)*InfoInicial!B3</f>
        <v>4594.6866694354931</v>
      </c>
      <c r="M23" s="329">
        <f>(M19+M20+M21+M22)*InfoInicial!B3</f>
        <v>4594.6866694354931</v>
      </c>
      <c r="N23" s="329">
        <f>(N19+N20+N21+N22)*InfoInicial!B3</f>
        <v>4594.6866694354931</v>
      </c>
      <c r="O23" s="329">
        <f>(O19+O20+O21+O22)*InfoInicial!B3</f>
        <v>4594.6866694354931</v>
      </c>
    </row>
    <row r="24" spans="1:15" x14ac:dyDescent="0.2">
      <c r="A24" s="104" t="s">
        <v>178</v>
      </c>
      <c r="B24" s="64">
        <f>B15</f>
        <v>4010231.5876258239</v>
      </c>
      <c r="C24" s="64">
        <f>C15-B15</f>
        <v>11761395.445514888</v>
      </c>
      <c r="D24" s="64">
        <f>D15-C15</f>
        <v>26504.141153726727</v>
      </c>
      <c r="E24" s="64">
        <f>E15-D15</f>
        <v>-20.284006435424089</v>
      </c>
      <c r="F24" s="64">
        <f>F15-E15</f>
        <v>-1140.2778169848025</v>
      </c>
      <c r="G24" s="65">
        <f>G15-F15</f>
        <v>-1.0968597829341888</v>
      </c>
      <c r="J24" s="16" t="s">
        <v>614</v>
      </c>
      <c r="K24" s="253">
        <f>K23</f>
        <v>4355.5425716144791</v>
      </c>
      <c r="L24" s="254">
        <f>L23-K23</f>
        <v>239.14409782101393</v>
      </c>
      <c r="M24" s="254">
        <f>M23-L23</f>
        <v>0</v>
      </c>
      <c r="N24" s="254">
        <f>N23-M23</f>
        <v>0</v>
      </c>
      <c r="O24" s="254">
        <f>O23-N23</f>
        <v>0</v>
      </c>
    </row>
    <row r="25" spans="1:15" x14ac:dyDescent="0.2">
      <c r="A25" s="104" t="s">
        <v>179</v>
      </c>
      <c r="B25" s="64">
        <f>B22</f>
        <v>4010231.5876258239</v>
      </c>
      <c r="C25" s="64">
        <f>C22-B22</f>
        <v>8044227.0124966875</v>
      </c>
      <c r="D25" s="64">
        <f>D22-C22</f>
        <v>-221231.80501304939</v>
      </c>
      <c r="E25" s="64">
        <f>E22-D22</f>
        <v>-692.9485148601234</v>
      </c>
      <c r="F25" s="64">
        <f>F22-E22</f>
        <v>-14495.181354280561</v>
      </c>
      <c r="G25" s="65">
        <f>G22-F22</f>
        <v>-56.479780564084649</v>
      </c>
    </row>
    <row r="26" spans="1:15" x14ac:dyDescent="0.2">
      <c r="A26" s="107"/>
      <c r="B26" s="84"/>
      <c r="C26" s="84"/>
      <c r="D26" s="84"/>
      <c r="E26" s="84"/>
      <c r="F26" s="84"/>
      <c r="G26" s="85"/>
    </row>
    <row r="27" spans="1:15" x14ac:dyDescent="0.2">
      <c r="A27" s="104" t="s">
        <v>180</v>
      </c>
      <c r="B27" s="84"/>
      <c r="C27" s="84"/>
      <c r="D27" s="84"/>
      <c r="E27" s="84"/>
      <c r="F27" s="84"/>
      <c r="G27" s="85"/>
    </row>
    <row r="28" spans="1:15" x14ac:dyDescent="0.2">
      <c r="A28" s="107" t="s">
        <v>181</v>
      </c>
      <c r="B28" s="64"/>
      <c r="C28" s="64"/>
      <c r="D28" s="64"/>
      <c r="E28" s="64"/>
      <c r="F28" s="64"/>
      <c r="G28" s="65"/>
    </row>
    <row r="29" spans="1:15" x14ac:dyDescent="0.2">
      <c r="A29" s="107" t="s">
        <v>182</v>
      </c>
      <c r="B29" s="64"/>
      <c r="C29" s="64"/>
      <c r="D29" s="64"/>
      <c r="E29" s="64"/>
      <c r="F29" s="64"/>
      <c r="G29" s="65"/>
    </row>
    <row r="30" spans="1:15" x14ac:dyDescent="0.2">
      <c r="A30" s="107" t="s">
        <v>183</v>
      </c>
      <c r="B30" s="64">
        <f>B10*InfoInicial!B3</f>
        <v>105495.93801600001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</row>
    <row r="31" spans="1:15" x14ac:dyDescent="0.2">
      <c r="A31" s="107" t="s">
        <v>184</v>
      </c>
      <c r="B31" s="64">
        <f>B11*InfoInicial!B3</f>
        <v>47788.519385422966</v>
      </c>
      <c r="C31" s="64">
        <f>(C11-B11)*InfoInicial!B3</f>
        <v>11947.12984635574</v>
      </c>
      <c r="D31" s="64">
        <f>(D11-C11)*InfoInicial!B3</f>
        <v>8475.7215389555113</v>
      </c>
      <c r="E31" s="64">
        <f>(E11-D11)*InfoInicial!B3</f>
        <v>0</v>
      </c>
      <c r="F31" s="64">
        <f>(F11-E11)*InfoInicial!B3</f>
        <v>0</v>
      </c>
      <c r="G31" s="64">
        <f>(G11-F11)*InfoInicial!B3</f>
        <v>0</v>
      </c>
    </row>
    <row r="32" spans="1:15" x14ac:dyDescent="0.2">
      <c r="A32" s="107" t="s">
        <v>185</v>
      </c>
      <c r="B32" s="64">
        <v>0</v>
      </c>
      <c r="C32" s="64">
        <f>('E-Costos'!B25+'E-Costos'!B30+'E-Costos'!B31+'E-Costos'!B32)*InfoInicial!B3</f>
        <v>4774.2126451543036</v>
      </c>
      <c r="D32" s="64">
        <f>('E-Costos'!C25+'E-Costos'!C30+'E-Costos'!C31+'E-Costos'!C32)*InfoInicial!B3-C32</f>
        <v>-170.67799244972412</v>
      </c>
      <c r="E32" s="64">
        <f>('E-Costos'!D25+'E-Costos'!D30+'E-Costos'!D31+'E-Costos'!D32)*InfoInicial!B3-('E-Costos'!C25+'E-Costos'!C30+'E-Costos'!C31+'E-Costos'!C32)*InfoInicial!B3</f>
        <v>0</v>
      </c>
      <c r="F32" s="64">
        <f>('E-Costos'!E25+'E-Costos'!E30+'E-Costos'!E31+'E-Costos'!E32)*InfoInicial!B3-('E-Costos'!D25+'E-Costos'!D30+'E-Costos'!D31+'E-Costos'!D32)*InfoInicial!B3</f>
        <v>0</v>
      </c>
      <c r="G32" s="64">
        <f>('E-Costos'!F25+'E-Costos'!F30+'E-Costos'!F31+'E-Costos'!F32)*InfoInicial!B3-('E-Costos'!E25+'E-Costos'!E30+'E-Costos'!E31+'E-Costos'!E32)*InfoInicial!B3</f>
        <v>0</v>
      </c>
    </row>
    <row r="33" spans="1:7" x14ac:dyDescent="0.2">
      <c r="A33" s="107" t="s">
        <v>186</v>
      </c>
      <c r="B33" s="328">
        <v>0</v>
      </c>
      <c r="C33" s="328">
        <f>K24</f>
        <v>4355.5425716144791</v>
      </c>
      <c r="D33" s="328">
        <f t="shared" ref="D33:G33" si="2">L24</f>
        <v>239.14409782101393</v>
      </c>
      <c r="E33" s="328">
        <f t="shared" si="2"/>
        <v>0</v>
      </c>
      <c r="F33" s="328">
        <f t="shared" si="2"/>
        <v>0</v>
      </c>
      <c r="G33" s="328">
        <f t="shared" si="2"/>
        <v>0</v>
      </c>
    </row>
    <row r="34" spans="1:7" x14ac:dyDescent="0.2">
      <c r="A34" s="104" t="s">
        <v>187</v>
      </c>
      <c r="B34" s="327">
        <f>B33+B32+B31+B30</f>
        <v>153284.45740142299</v>
      </c>
      <c r="C34" s="327">
        <f t="shared" ref="C34:G34" si="3">C33+C32+C31+C30</f>
        <v>21076.885063124522</v>
      </c>
      <c r="D34" s="327">
        <f t="shared" si="3"/>
        <v>8544.1876443268011</v>
      </c>
      <c r="E34" s="327">
        <f t="shared" si="3"/>
        <v>0</v>
      </c>
      <c r="F34" s="327">
        <f t="shared" si="3"/>
        <v>0</v>
      </c>
      <c r="G34" s="327">
        <f t="shared" si="3"/>
        <v>0</v>
      </c>
    </row>
    <row r="35" spans="1:7" x14ac:dyDescent="0.2">
      <c r="A35" s="107"/>
      <c r="B35" s="67"/>
      <c r="C35" s="67"/>
      <c r="D35" s="67"/>
      <c r="E35" s="67"/>
      <c r="F35" s="67"/>
      <c r="G35" s="68"/>
    </row>
    <row r="36" spans="1:7" x14ac:dyDescent="0.2">
      <c r="A36" s="108" t="s">
        <v>188</v>
      </c>
      <c r="B36" s="70">
        <f t="shared" ref="B36:G36" si="4">B25+B34</f>
        <v>4163516.0450272467</v>
      </c>
      <c r="C36" s="70">
        <f t="shared" si="4"/>
        <v>8065303.8975598123</v>
      </c>
      <c r="D36" s="70">
        <f t="shared" si="4"/>
        <v>-212687.6173687226</v>
      </c>
      <c r="E36" s="70">
        <f t="shared" si="4"/>
        <v>-692.9485148601234</v>
      </c>
      <c r="F36" s="70">
        <f t="shared" si="4"/>
        <v>-14495.181354280561</v>
      </c>
      <c r="G36" s="71">
        <f t="shared" si="4"/>
        <v>-56.479780564084649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C45" sqref="C45"/>
    </sheetView>
  </sheetViews>
  <sheetFormatPr defaultColWidth="11.42578125" defaultRowHeight="12.75" x14ac:dyDescent="0.2"/>
  <cols>
    <col min="1" max="1" width="28.140625" style="16" customWidth="1"/>
    <col min="2" max="2" width="14" style="16" customWidth="1"/>
    <col min="3" max="3" width="14.85546875" style="16" customWidth="1"/>
    <col min="4" max="4" width="15" style="16" customWidth="1"/>
    <col min="5" max="5" width="15.5703125" style="16" customWidth="1"/>
    <col min="6" max="6" width="15" style="16" customWidth="1"/>
    <col min="7" max="8" width="14" style="16" customWidth="1"/>
    <col min="9" max="9" width="15.85546875" style="16" customWidth="1"/>
    <col min="10" max="10" width="17.42578125" style="16" customWidth="1"/>
    <col min="11" max="16384" width="11.42578125" style="16"/>
  </cols>
  <sheetData>
    <row r="1" spans="1:10" x14ac:dyDescent="0.2">
      <c r="A1" s="1" t="s">
        <v>0</v>
      </c>
      <c r="B1"/>
      <c r="C1"/>
      <c r="D1"/>
      <c r="G1" s="2">
        <f>InfoInicial!E1</f>
        <v>1</v>
      </c>
    </row>
    <row r="3" spans="1:10" ht="15.75" x14ac:dyDescent="0.25">
      <c r="A3" s="56" t="s">
        <v>189</v>
      </c>
      <c r="B3" s="57"/>
      <c r="C3" s="57"/>
      <c r="D3" s="57"/>
      <c r="E3" s="57"/>
      <c r="F3" s="57"/>
      <c r="G3" s="57"/>
      <c r="H3" s="57"/>
      <c r="I3" s="58"/>
    </row>
    <row r="4" spans="1:10" ht="25.5" x14ac:dyDescent="0.2">
      <c r="A4" s="59" t="s">
        <v>88</v>
      </c>
      <c r="B4" s="109" t="s">
        <v>190</v>
      </c>
      <c r="C4" s="109" t="s">
        <v>191</v>
      </c>
      <c r="D4" s="21" t="s">
        <v>48</v>
      </c>
      <c r="E4" s="21" t="s">
        <v>89</v>
      </c>
      <c r="F4" s="21" t="s">
        <v>90</v>
      </c>
      <c r="G4" s="21" t="s">
        <v>91</v>
      </c>
      <c r="H4" s="110" t="s">
        <v>92</v>
      </c>
      <c r="I4" s="22" t="s">
        <v>192</v>
      </c>
    </row>
    <row r="5" spans="1:10" x14ac:dyDescent="0.2">
      <c r="A5" s="104" t="s">
        <v>193</v>
      </c>
      <c r="B5" s="105"/>
      <c r="C5" s="105"/>
      <c r="D5" s="105"/>
      <c r="E5" s="105"/>
      <c r="F5" s="105"/>
      <c r="G5" s="105"/>
      <c r="H5" s="111"/>
      <c r="I5" s="106"/>
    </row>
    <row r="6" spans="1:10" x14ac:dyDescent="0.2">
      <c r="A6" s="112" t="s">
        <v>194</v>
      </c>
      <c r="B6" s="64">
        <v>0</v>
      </c>
      <c r="C6" s="64">
        <f>'E-Inv AF y Am'!B51</f>
        <v>42222293.9375</v>
      </c>
      <c r="D6" s="64">
        <v>0</v>
      </c>
      <c r="E6" s="64">
        <v>0</v>
      </c>
      <c r="F6" s="64">
        <v>0</v>
      </c>
      <c r="G6" s="64">
        <v>0</v>
      </c>
      <c r="H6" s="113">
        <v>0</v>
      </c>
      <c r="I6" s="65">
        <f>H6+G6+F6+E6+D6+C6+B6</f>
        <v>42222293.9375</v>
      </c>
    </row>
    <row r="7" spans="1:10" x14ac:dyDescent="0.2">
      <c r="A7" s="112" t="s">
        <v>195</v>
      </c>
      <c r="B7" s="64">
        <f>'E-Inv AF y Am'!B23</f>
        <v>100000</v>
      </c>
      <c r="C7" s="64">
        <f>'E-Inv AF y Am'!B31-'E-Inv AF y Am'!B23</f>
        <v>1216875</v>
      </c>
      <c r="D7" s="64">
        <f>'E-Inv AF y Am'!C26</f>
        <v>2792028.4590802034</v>
      </c>
      <c r="E7" s="64">
        <v>0</v>
      </c>
      <c r="F7" s="64">
        <v>0</v>
      </c>
      <c r="G7" s="64">
        <v>0</v>
      </c>
      <c r="H7" s="113">
        <v>0</v>
      </c>
      <c r="I7" s="65">
        <f>H7+G7+F7+E7+D7+C7+B7</f>
        <v>4108903.4590802034</v>
      </c>
    </row>
    <row r="8" spans="1:10" x14ac:dyDescent="0.2">
      <c r="A8" s="104" t="s">
        <v>196</v>
      </c>
      <c r="B8" s="64">
        <f>B6+B7</f>
        <v>100000</v>
      </c>
      <c r="C8" s="64">
        <f>C6+C7</f>
        <v>43439168.9375</v>
      </c>
      <c r="D8" s="64">
        <f>D6+D7</f>
        <v>2792028.4590802034</v>
      </c>
      <c r="E8" s="64">
        <v>0</v>
      </c>
      <c r="F8" s="64">
        <v>0</v>
      </c>
      <c r="G8" s="64">
        <v>0</v>
      </c>
      <c r="H8" s="113">
        <v>0</v>
      </c>
      <c r="I8" s="65">
        <f>H8+G8+F8+E8+D8+C8+B8</f>
        <v>46331197.396580204</v>
      </c>
      <c r="J8" s="254"/>
    </row>
    <row r="9" spans="1:10" x14ac:dyDescent="0.2">
      <c r="A9" s="112"/>
      <c r="B9" s="84"/>
      <c r="C9" s="84"/>
      <c r="D9" s="84"/>
      <c r="E9" s="84"/>
      <c r="F9" s="84"/>
      <c r="G9" s="84"/>
      <c r="H9" s="114"/>
      <c r="I9" s="85"/>
    </row>
    <row r="10" spans="1:10" x14ac:dyDescent="0.2">
      <c r="A10" s="104" t="s">
        <v>197</v>
      </c>
      <c r="B10" s="64"/>
      <c r="C10" s="64"/>
      <c r="D10" s="64"/>
      <c r="E10" s="64"/>
      <c r="F10" s="64"/>
      <c r="G10" s="64"/>
      <c r="H10" s="113"/>
      <c r="I10" s="65"/>
    </row>
    <row r="11" spans="1:10" x14ac:dyDescent="0.2">
      <c r="A11" s="112" t="s">
        <v>198</v>
      </c>
      <c r="B11" s="329">
        <v>0</v>
      </c>
      <c r="C11" s="64">
        <f>'E-InvAT'!B6</f>
        <v>3280305.6</v>
      </c>
      <c r="D11" s="64">
        <f>'E-InvAT'!C6-'E-InvAT'!B6</f>
        <v>820076.39999999991</v>
      </c>
      <c r="E11" s="64">
        <f>'E-InvAT'!D6-'E-InvAT'!C6</f>
        <v>0</v>
      </c>
      <c r="F11" s="64">
        <f>'E-InvAT'!E6-'E-InvAT'!D6</f>
        <v>0</v>
      </c>
      <c r="G11" s="64">
        <f>'E-InvAT'!F6-'E-InvAT'!E6</f>
        <v>0</v>
      </c>
      <c r="H11" s="64">
        <f>'E-InvAT'!G6-'E-InvAT'!F6</f>
        <v>0</v>
      </c>
      <c r="I11" s="65">
        <f>SUM(C11:H11)</f>
        <v>4100382</v>
      </c>
    </row>
    <row r="12" spans="1:10" x14ac:dyDescent="0.2">
      <c r="A12" s="112" t="s">
        <v>199</v>
      </c>
      <c r="B12" s="64">
        <v>0</v>
      </c>
      <c r="C12" s="64">
        <v>0</v>
      </c>
      <c r="D12" s="64">
        <f>'E-InvAT'!C7-'E-InvAT'!C19-'E-InvAT'!C20</f>
        <v>7537493.295862766</v>
      </c>
      <c r="E12" s="64">
        <f>'E-InvAT'!D7-'E-InvAT'!D19-'E-InvAT'!D20-D12</f>
        <v>-252636.88169680443</v>
      </c>
      <c r="F12" s="64">
        <f>'E-InvAT'!E7-'E-InvAT'!E19-'E-InvAT'!E20-('E-InvAT'!D7-'E-InvAT'!D19-'E-InvAT'!D20)</f>
        <v>-672.66450842563063</v>
      </c>
      <c r="G12" s="64">
        <f>'E-InvAT'!F7-'E-InvAT'!F19-'E-InvAT'!F20-('E-InvAT'!E7-'E-InvAT'!E19-'E-InvAT'!E20)</f>
        <v>-14472.822965709493</v>
      </c>
      <c r="H12" s="64">
        <f>'E-InvAT'!G7-'E-InvAT'!G19-'E-InvAT'!G20-('E-InvAT'!F7-'E-InvAT'!F19-'E-InvAT'!F20)</f>
        <v>-55.382920782081783</v>
      </c>
      <c r="I12" s="65">
        <f t="shared" ref="I12:I18" si="0">SUM(C12:H12)</f>
        <v>7269655.5437710444</v>
      </c>
    </row>
    <row r="13" spans="1:10" x14ac:dyDescent="0.2">
      <c r="A13" s="112" t="s">
        <v>200</v>
      </c>
      <c r="B13" s="64"/>
      <c r="C13" s="64"/>
      <c r="D13" s="64"/>
      <c r="E13" s="64"/>
      <c r="F13" s="64"/>
      <c r="G13" s="64"/>
      <c r="H13" s="113"/>
      <c r="I13" s="65"/>
    </row>
    <row r="14" spans="1:10" x14ac:dyDescent="0.2">
      <c r="A14" s="112" t="s">
        <v>201</v>
      </c>
      <c r="B14" s="64">
        <v>0</v>
      </c>
      <c r="C14" s="64">
        <f>'E-InvAT'!B10</f>
        <v>502361.60960000008</v>
      </c>
      <c r="D14" s="64">
        <f>'E-InvAT'!C10-'E-InvAT'!B10</f>
        <v>-502361.60960000008</v>
      </c>
      <c r="E14" s="64">
        <f>'E-InvAT'!D10-'E-InvAT'!C10</f>
        <v>0</v>
      </c>
      <c r="F14" s="64">
        <f>'E-InvAT'!E10-'E-InvAT'!D10</f>
        <v>0</v>
      </c>
      <c r="G14" s="64">
        <f>'E-InvAT'!F10-'E-InvAT'!E10</f>
        <v>0</v>
      </c>
      <c r="H14" s="64">
        <f>'E-InvAT'!G10-'E-InvAT'!F10</f>
        <v>0</v>
      </c>
      <c r="I14" s="65">
        <f t="shared" si="0"/>
        <v>0</v>
      </c>
    </row>
    <row r="15" spans="1:10" x14ac:dyDescent="0.2">
      <c r="A15" s="112" t="s">
        <v>202</v>
      </c>
      <c r="B15" s="64">
        <v>0</v>
      </c>
      <c r="C15" s="64">
        <f>'E-InvAT'!B11</f>
        <v>227564.37802582365</v>
      </c>
      <c r="D15" s="64">
        <f>'E-InvAT'!C11-'E-InvAT'!B11</f>
        <v>56891.094506455906</v>
      </c>
      <c r="E15" s="64">
        <f>'E-InvAT'!D11-'E-InvAT'!C11</f>
        <v>40360.578756931005</v>
      </c>
      <c r="F15" s="64">
        <f>'E-InvAT'!E11-'E-InvAT'!D11</f>
        <v>0</v>
      </c>
      <c r="G15" s="64">
        <f>'E-InvAT'!F11-'E-InvAT'!E11</f>
        <v>0</v>
      </c>
      <c r="H15" s="64">
        <f>'E-InvAT'!G11-'E-InvAT'!F11</f>
        <v>0</v>
      </c>
      <c r="I15" s="65">
        <f t="shared" si="0"/>
        <v>324816.05128921056</v>
      </c>
    </row>
    <row r="16" spans="1:10" x14ac:dyDescent="0.2">
      <c r="A16" s="112" t="s">
        <v>203</v>
      </c>
      <c r="B16" s="64">
        <v>0</v>
      </c>
      <c r="C16" s="64">
        <v>0</v>
      </c>
      <c r="D16" s="64">
        <f>'E-InvAT'!C12-'E-InvAT'!C17</f>
        <v>69666.091971412112</v>
      </c>
      <c r="E16" s="64">
        <f>'E-InvAT'!D12-'E-InvAT'!D17-D16</f>
        <v>-8097.6863802291264</v>
      </c>
      <c r="F16" s="64">
        <f>'E-InvAT'!E12-'E-InvAT'!E17-('E-InvAT'!D12-'E-InvAT'!D17)</f>
        <v>0</v>
      </c>
      <c r="G16" s="64">
        <f>'E-InvAT'!F12-'E-InvAT'!F17-('E-InvAT'!E12-'E-InvAT'!E17)</f>
        <v>-11.189947811464663</v>
      </c>
      <c r="H16" s="64">
        <f>'E-InvAT'!G12-'E-InvAT'!G17-('E-InvAT'!F12-'E-InvAT'!F17)</f>
        <v>0</v>
      </c>
      <c r="I16" s="65">
        <f t="shared" si="0"/>
        <v>61557.215643371521</v>
      </c>
    </row>
    <row r="17" spans="1:9" x14ac:dyDescent="0.2">
      <c r="A17" s="112" t="s">
        <v>204</v>
      </c>
      <c r="B17" s="64">
        <v>0</v>
      </c>
      <c r="C17" s="64">
        <v>0</v>
      </c>
      <c r="D17" s="64">
        <f>'E-InvAT'!C13-'E-InvAT'!C18</f>
        <v>62461.739756053888</v>
      </c>
      <c r="E17" s="64">
        <f>'E-InvAT'!D13-'E-InvAT'!D18-D17</f>
        <v>-857.81569294645305</v>
      </c>
      <c r="F17" s="64">
        <f>'E-InvAT'!E13-'E-InvAT'!E18-('E-InvAT'!D13-'E-InvAT'!D18)</f>
        <v>-20.284006437010248</v>
      </c>
      <c r="G17" s="64">
        <f>'E-InvAT'!F13-'E-InvAT'!F18-('E-InvAT'!E13-'E-InvAT'!E18)</f>
        <v>-11.168440756875498</v>
      </c>
      <c r="H17" s="64">
        <f>'E-InvAT'!G13-'E-InvAT'!G18-('E-InvAT'!F13-'E-InvAT'!F18)</f>
        <v>-1.0968597833707463</v>
      </c>
      <c r="I17" s="65">
        <f t="shared" si="0"/>
        <v>61571.374756130179</v>
      </c>
    </row>
    <row r="18" spans="1:9" x14ac:dyDescent="0.2">
      <c r="A18" s="104" t="s">
        <v>205</v>
      </c>
      <c r="B18" s="64">
        <f>SUM(B11:B17)</f>
        <v>0</v>
      </c>
      <c r="C18" s="64">
        <f t="shared" ref="C18:H18" si="1">SUM(C11:C17)</f>
        <v>4010231.5876258239</v>
      </c>
      <c r="D18" s="64">
        <f>SUM(D11:D17)</f>
        <v>8044227.0124966884</v>
      </c>
      <c r="E18" s="64">
        <f>SUM(E11:E17)</f>
        <v>-221231.80501304902</v>
      </c>
      <c r="F18" s="64">
        <f t="shared" si="1"/>
        <v>-692.94851486264088</v>
      </c>
      <c r="G18" s="64">
        <f t="shared" si="1"/>
        <v>-14495.181354277833</v>
      </c>
      <c r="H18" s="64">
        <f t="shared" si="1"/>
        <v>-56.479780565452529</v>
      </c>
      <c r="I18" s="65">
        <f t="shared" si="0"/>
        <v>11817982.185459755</v>
      </c>
    </row>
    <row r="19" spans="1:9" x14ac:dyDescent="0.2">
      <c r="A19" s="112"/>
      <c r="B19" s="84"/>
      <c r="C19" s="84"/>
      <c r="D19" s="84"/>
      <c r="E19" s="84"/>
      <c r="F19" s="84"/>
      <c r="G19" s="84"/>
      <c r="H19" s="114"/>
      <c r="I19" s="85"/>
    </row>
    <row r="20" spans="1:9" x14ac:dyDescent="0.2">
      <c r="A20" s="104" t="s">
        <v>206</v>
      </c>
      <c r="B20" s="84"/>
      <c r="C20" s="84"/>
      <c r="D20" s="84"/>
      <c r="E20" s="84"/>
      <c r="F20" s="84"/>
      <c r="G20" s="84"/>
      <c r="H20" s="114"/>
      <c r="I20" s="85"/>
    </row>
    <row r="21" spans="1:9" x14ac:dyDescent="0.2">
      <c r="A21" s="112" t="s">
        <v>207</v>
      </c>
      <c r="B21" s="64">
        <f>InfoInicial!B3*'E-Inv AF y Am'!B23</f>
        <v>21000</v>
      </c>
      <c r="C21" s="253">
        <f>('E-Inv AF y Am'!B33+'E-Inv AF y Am'!D33-'E-Inv AF y Am'!B23)*InfoInicial!B3</f>
        <v>9122225.4768749997</v>
      </c>
      <c r="D21" s="64">
        <v>0</v>
      </c>
      <c r="E21" s="64">
        <v>0</v>
      </c>
      <c r="F21" s="64">
        <v>0</v>
      </c>
      <c r="G21" s="64">
        <v>0</v>
      </c>
      <c r="H21" s="113">
        <v>0</v>
      </c>
      <c r="I21" s="65">
        <f>SUM(B21:H21)</f>
        <v>9143225.4768749997</v>
      </c>
    </row>
    <row r="22" spans="1:9" x14ac:dyDescent="0.2">
      <c r="A22" s="112" t="s">
        <v>208</v>
      </c>
      <c r="B22" s="64">
        <v>0</v>
      </c>
      <c r="C22" s="64">
        <f>'E-InvAT'!B34</f>
        <v>153284.45740142299</v>
      </c>
      <c r="D22" s="64">
        <f>'E-InvAT'!C34</f>
        <v>21076.885063124522</v>
      </c>
      <c r="E22" s="64">
        <f>'E-InvAT'!D34</f>
        <v>8544.1876443268011</v>
      </c>
      <c r="F22" s="64">
        <f>'E-InvAT'!E34</f>
        <v>0</v>
      </c>
      <c r="G22" s="64">
        <f>'E-InvAT'!F34</f>
        <v>0</v>
      </c>
      <c r="H22" s="64">
        <f>'E-InvAT'!G34</f>
        <v>0</v>
      </c>
      <c r="I22" s="65">
        <f t="shared" ref="I22:I23" si="2">SUM(B22:H22)</f>
        <v>182905.53010887431</v>
      </c>
    </row>
    <row r="23" spans="1:9" x14ac:dyDescent="0.2">
      <c r="A23" s="104" t="s">
        <v>209</v>
      </c>
      <c r="B23" s="64">
        <f>B21+B22</f>
        <v>21000</v>
      </c>
      <c r="C23" s="64">
        <f>C21+C22</f>
        <v>9275509.9342764225</v>
      </c>
      <c r="D23" s="64">
        <f t="shared" ref="D23:H23" si="3">D21+D22</f>
        <v>21076.885063124522</v>
      </c>
      <c r="E23" s="64">
        <f t="shared" si="3"/>
        <v>8544.1876443268011</v>
      </c>
      <c r="F23" s="64">
        <f t="shared" si="3"/>
        <v>0</v>
      </c>
      <c r="G23" s="64">
        <f t="shared" si="3"/>
        <v>0</v>
      </c>
      <c r="H23" s="64">
        <f t="shared" si="3"/>
        <v>0</v>
      </c>
      <c r="I23" s="65">
        <f t="shared" si="2"/>
        <v>9326131.0069838744</v>
      </c>
    </row>
    <row r="24" spans="1:9" x14ac:dyDescent="0.2">
      <c r="A24" s="104"/>
      <c r="B24" s="84"/>
      <c r="C24" s="84"/>
      <c r="D24" s="84"/>
      <c r="E24" s="84"/>
      <c r="F24" s="84"/>
      <c r="G24" s="84"/>
      <c r="H24" s="114"/>
      <c r="I24" s="85"/>
    </row>
    <row r="25" spans="1:9" x14ac:dyDescent="0.2">
      <c r="A25" s="108" t="s">
        <v>210</v>
      </c>
      <c r="B25" s="70">
        <f>SUM(B8+B18+B23)</f>
        <v>121000</v>
      </c>
      <c r="C25" s="70">
        <f t="shared" ref="C25:H25" si="4">SUM(C8+C18+C23)</f>
        <v>56724910.459402248</v>
      </c>
      <c r="D25" s="70">
        <f t="shared" si="4"/>
        <v>10857332.356640017</v>
      </c>
      <c r="E25" s="70">
        <f t="shared" si="4"/>
        <v>-212687.61736872222</v>
      </c>
      <c r="F25" s="70">
        <f t="shared" si="4"/>
        <v>-692.94851486264088</v>
      </c>
      <c r="G25" s="70">
        <f t="shared" si="4"/>
        <v>-14495.181354277833</v>
      </c>
      <c r="H25" s="70">
        <f t="shared" si="4"/>
        <v>-56.479780565452529</v>
      </c>
      <c r="I25" s="71">
        <f>SUM(B25:H25)</f>
        <v>67475310.589023814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C29" sqref="C29"/>
    </sheetView>
  </sheetViews>
  <sheetFormatPr defaultColWidth="11.42578125" defaultRowHeight="12.75" x14ac:dyDescent="0.2"/>
  <cols>
    <col min="1" max="1" width="28.140625" style="16" customWidth="1"/>
    <col min="2" max="2" width="14" style="16" customWidth="1"/>
    <col min="3" max="3" width="15.42578125" style="16" customWidth="1"/>
    <col min="4" max="5" width="14.7109375" style="16" customWidth="1"/>
    <col min="6" max="7" width="14.5703125" style="16" customWidth="1"/>
    <col min="8" max="8" width="17.42578125" style="16" customWidth="1"/>
    <col min="9" max="16384" width="11.42578125" style="16"/>
  </cols>
  <sheetData>
    <row r="1" spans="1:7" x14ac:dyDescent="0.2">
      <c r="A1" s="1" t="s">
        <v>0</v>
      </c>
      <c r="B1"/>
      <c r="C1"/>
      <c r="D1"/>
      <c r="G1" s="2">
        <f>InfoInicial!E1</f>
        <v>1</v>
      </c>
    </row>
    <row r="2" spans="1:7" ht="15.75" x14ac:dyDescent="0.25">
      <c r="A2" s="116" t="s">
        <v>211</v>
      </c>
      <c r="B2" s="57"/>
      <c r="C2" s="57"/>
      <c r="D2" s="57"/>
      <c r="E2" s="57"/>
      <c r="F2" s="57"/>
      <c r="G2" s="58"/>
    </row>
    <row r="3" spans="1:7" ht="15.75" x14ac:dyDescent="0.25">
      <c r="A3" s="117"/>
      <c r="B3" s="118" t="s">
        <v>212</v>
      </c>
      <c r="C3" s="118"/>
      <c r="D3" s="118"/>
      <c r="E3" s="118"/>
      <c r="F3" s="118"/>
      <c r="G3" s="119"/>
    </row>
    <row r="4" spans="1:7" x14ac:dyDescent="0.2">
      <c r="A4" s="120" t="s">
        <v>88</v>
      </c>
      <c r="B4" s="109" t="s">
        <v>47</v>
      </c>
      <c r="C4" s="21" t="s">
        <v>48</v>
      </c>
      <c r="D4" s="21" t="s">
        <v>89</v>
      </c>
      <c r="E4" s="21" t="s">
        <v>90</v>
      </c>
      <c r="F4" s="21" t="s">
        <v>91</v>
      </c>
      <c r="G4" s="22" t="s">
        <v>92</v>
      </c>
    </row>
    <row r="5" spans="1:7" x14ac:dyDescent="0.2">
      <c r="A5" s="121" t="s">
        <v>213</v>
      </c>
      <c r="B5" s="122">
        <v>0</v>
      </c>
      <c r="C5" s="105"/>
      <c r="D5" s="105"/>
      <c r="E5" s="105"/>
      <c r="F5" s="105"/>
      <c r="G5" s="106"/>
    </row>
    <row r="6" spans="1:7" x14ac:dyDescent="0.2">
      <c r="A6" s="123" t="s">
        <v>214</v>
      </c>
      <c r="B6" s="122">
        <v>0</v>
      </c>
      <c r="C6" s="64">
        <f>'E-Costos'!B7*InfoInicial!B3</f>
        <v>1611214.1571804599</v>
      </c>
      <c r="D6" s="64">
        <f>'E-Costos'!C7*InfoInicial!B3</f>
        <v>2076408.0055530001</v>
      </c>
      <c r="E6" s="64">
        <f>'E-Costos'!D7*InfoInicial!B3</f>
        <v>2076408.0055530001</v>
      </c>
      <c r="F6" s="64">
        <f>'E-Costos'!E7*InfoInicial!B3</f>
        <v>2076408.0055530001</v>
      </c>
      <c r="G6" s="64">
        <f>'E-Costos'!F7*InfoInicial!B3</f>
        <v>2076408.0055530001</v>
      </c>
    </row>
    <row r="7" spans="1:7" x14ac:dyDescent="0.2">
      <c r="A7" s="123" t="s">
        <v>98</v>
      </c>
      <c r="B7" s="122">
        <v>0</v>
      </c>
      <c r="C7" s="64">
        <f>'E-Costos'!B12*InfoInicial!B3</f>
        <v>191931.79757832357</v>
      </c>
      <c r="D7" s="64">
        <f>'E-Costos'!C12*InfoInicial!B3</f>
        <v>220611.26158427997</v>
      </c>
      <c r="E7" s="64">
        <f>'E-Costos'!D12*InfoInicial!B3</f>
        <v>220611.26158427997</v>
      </c>
      <c r="F7" s="64">
        <f>'E-Costos'!E12*InfoInicial!B3</f>
        <v>220611.26158427997</v>
      </c>
      <c r="G7" s="64">
        <f>'E-Costos'!F12*InfoInicial!B3</f>
        <v>220611.26158427997</v>
      </c>
    </row>
    <row r="8" spans="1:7" x14ac:dyDescent="0.2">
      <c r="A8" s="123" t="s">
        <v>99</v>
      </c>
      <c r="B8" s="122">
        <v>0</v>
      </c>
      <c r="C8" s="64">
        <f>'E-Costos'!B13*InfoInicial!B3</f>
        <v>84938.799354023999</v>
      </c>
      <c r="D8" s="64">
        <f>'E-Costos'!C13*InfoInicial!B3</f>
        <v>89409.262477919998</v>
      </c>
      <c r="E8" s="64">
        <f>'E-Costos'!D13*InfoInicial!B3</f>
        <v>89409.262477919998</v>
      </c>
      <c r="F8" s="64">
        <f>'E-Costos'!E13*InfoInicial!B3</f>
        <v>89409.262477919998</v>
      </c>
      <c r="G8" s="64">
        <f>'E-Costos'!F13*InfoInicial!B3</f>
        <v>89409.262477919998</v>
      </c>
    </row>
    <row r="9" spans="1:7" x14ac:dyDescent="0.2">
      <c r="A9" s="123" t="s">
        <v>100</v>
      </c>
      <c r="B9" s="122">
        <v>0</v>
      </c>
      <c r="C9" s="64">
        <f>'E-Costos'!B14*InfoInicial!B3</f>
        <v>8315.9081249999999</v>
      </c>
      <c r="D9" s="64">
        <f>'E-Costos'!C14*InfoInicial!B3</f>
        <v>8753.5874999999996</v>
      </c>
      <c r="E9" s="64">
        <f>'E-Costos'!D14*InfoInicial!B3</f>
        <v>8753.5874999999996</v>
      </c>
      <c r="F9" s="64">
        <f>'E-Costos'!E14*InfoInicial!B3</f>
        <v>8753.5874999999996</v>
      </c>
      <c r="G9" s="64">
        <f>'E-Costos'!F14*InfoInicial!B3</f>
        <v>8753.5874999999996</v>
      </c>
    </row>
    <row r="10" spans="1:7" x14ac:dyDescent="0.2">
      <c r="A10" s="123" t="s">
        <v>215</v>
      </c>
      <c r="B10" s="122">
        <v>0</v>
      </c>
      <c r="C10" s="64">
        <v>0</v>
      </c>
      <c r="D10" s="64">
        <v>0</v>
      </c>
      <c r="E10" s="64">
        <v>0</v>
      </c>
      <c r="F10" s="64">
        <v>0</v>
      </c>
      <c r="G10" s="65">
        <v>0</v>
      </c>
    </row>
    <row r="11" spans="1:7" x14ac:dyDescent="0.2">
      <c r="A11" s="123" t="s">
        <v>123</v>
      </c>
      <c r="B11" s="122">
        <v>0</v>
      </c>
      <c r="C11" s="64">
        <v>0</v>
      </c>
      <c r="D11" s="64">
        <v>0</v>
      </c>
      <c r="E11" s="64">
        <v>0</v>
      </c>
      <c r="F11" s="64">
        <v>0</v>
      </c>
      <c r="G11" s="65">
        <v>0</v>
      </c>
    </row>
    <row r="12" spans="1:7" x14ac:dyDescent="0.2">
      <c r="A12" s="125" t="s">
        <v>83</v>
      </c>
      <c r="B12" s="122">
        <f>SUM(B6:B11)</f>
        <v>0</v>
      </c>
      <c r="C12" s="122">
        <f t="shared" ref="C12:G12" si="0">SUM(C6:C11)</f>
        <v>1896400.6622378076</v>
      </c>
      <c r="D12" s="122">
        <f t="shared" si="0"/>
        <v>2395182.1171152</v>
      </c>
      <c r="E12" s="122">
        <f t="shared" si="0"/>
        <v>2395182.1171152</v>
      </c>
      <c r="F12" s="122">
        <f t="shared" si="0"/>
        <v>2395182.1171152</v>
      </c>
      <c r="G12" s="122">
        <f t="shared" si="0"/>
        <v>2395182.1171152</v>
      </c>
    </row>
    <row r="13" spans="1:7" x14ac:dyDescent="0.2">
      <c r="A13" s="123" t="s">
        <v>216</v>
      </c>
      <c r="B13" s="122">
        <v>0</v>
      </c>
      <c r="C13" s="64">
        <f>('E-Costos'!G35-'E-Costos'!G26)*InfoInicial!B3</f>
        <v>161528.85421256674</v>
      </c>
      <c r="D13" s="64"/>
      <c r="E13" s="64"/>
      <c r="F13" s="64"/>
      <c r="G13" s="65"/>
    </row>
    <row r="14" spans="1:7" x14ac:dyDescent="0.2">
      <c r="A14" s="123" t="s">
        <v>217</v>
      </c>
      <c r="B14" s="122">
        <v>0</v>
      </c>
      <c r="C14" s="84"/>
      <c r="D14" s="84"/>
      <c r="E14" s="84"/>
      <c r="F14" s="84"/>
      <c r="G14" s="85"/>
    </row>
    <row r="15" spans="1:7" x14ac:dyDescent="0.2">
      <c r="A15" s="123" t="s">
        <v>218</v>
      </c>
      <c r="B15" s="122">
        <v>0</v>
      </c>
      <c r="C15" s="64">
        <f>'E-InvAT'!C32</f>
        <v>4774.2126451543036</v>
      </c>
      <c r="D15" s="64">
        <f>'E-InvAT'!D32</f>
        <v>-170.67799244972412</v>
      </c>
      <c r="E15" s="64">
        <f>'E-InvAT'!E32</f>
        <v>0</v>
      </c>
      <c r="F15" s="64">
        <f>'E-InvAT'!F32</f>
        <v>0</v>
      </c>
      <c r="G15" s="64">
        <f>'E-InvAT'!G32</f>
        <v>0</v>
      </c>
    </row>
    <row r="16" spans="1:7" x14ac:dyDescent="0.2">
      <c r="A16" s="123" t="s">
        <v>219</v>
      </c>
      <c r="B16" s="122">
        <v>0</v>
      </c>
      <c r="C16" s="64">
        <f>'E-InvAT'!C33</f>
        <v>4355.5425716144791</v>
      </c>
      <c r="D16" s="64">
        <f>'E-InvAT'!D33</f>
        <v>239.14409782101393</v>
      </c>
      <c r="E16" s="64">
        <f>'E-InvAT'!E33</f>
        <v>0</v>
      </c>
      <c r="F16" s="64">
        <f>'E-InvAT'!F33</f>
        <v>0</v>
      </c>
      <c r="G16" s="64">
        <f>'E-InvAT'!G33</f>
        <v>0</v>
      </c>
    </row>
    <row r="17" spans="1:7" x14ac:dyDescent="0.2">
      <c r="A17" s="125" t="s">
        <v>220</v>
      </c>
      <c r="B17" s="122">
        <v>0</v>
      </c>
      <c r="C17" s="64">
        <f>C12-C13-C15-C16</f>
        <v>1725742.0528084722</v>
      </c>
      <c r="D17" s="64">
        <f t="shared" ref="D17:G17" si="1">D12-D13-D15-D16</f>
        <v>2395113.6510098288</v>
      </c>
      <c r="E17" s="64">
        <f t="shared" si="1"/>
        <v>2395182.1171152</v>
      </c>
      <c r="F17" s="64">
        <f t="shared" si="1"/>
        <v>2395182.1171152</v>
      </c>
      <c r="G17" s="64">
        <f t="shared" si="1"/>
        <v>2395182.1171152</v>
      </c>
    </row>
    <row r="18" spans="1:7" x14ac:dyDescent="0.2">
      <c r="A18" s="125" t="s">
        <v>221</v>
      </c>
      <c r="B18" s="122">
        <v>0</v>
      </c>
      <c r="C18" s="64">
        <f>('E-Costos'!B54+'E-Costos'!B55+'E-Costos'!B56+'E-Costos'!B57)*InfoInicial!B3</f>
        <v>204295.66904272372</v>
      </c>
      <c r="D18" s="64">
        <f>('E-Costos'!C54+'E-Costos'!C55+'E-Costos'!C56+'E-Costos'!C57)*InfoInicial!B3</f>
        <v>213084.30539895719</v>
      </c>
      <c r="E18" s="64">
        <f>('E-Costos'!D54+'E-Costos'!D55+'E-Costos'!D56+'E-Costos'!D57)*InfoInicial!B3</f>
        <v>213084.30539895719</v>
      </c>
      <c r="F18" s="64">
        <f>('E-Costos'!E54+'E-Costos'!E55+'E-Costos'!E56+'E-Costos'!E57)*InfoInicial!B3</f>
        <v>213084.30539895719</v>
      </c>
      <c r="G18" s="64">
        <f>('E-Costos'!F54+'E-Costos'!F55+'E-Costos'!F56+'E-Costos'!F57)*InfoInicial!B3</f>
        <v>213084.30539895719</v>
      </c>
    </row>
    <row r="19" spans="1:7" x14ac:dyDescent="0.2">
      <c r="A19" s="125" t="s">
        <v>222</v>
      </c>
      <c r="B19" s="122">
        <v>0</v>
      </c>
      <c r="C19" s="64">
        <f>('E-Costos'!B70+'E-Costos'!B71+'E-Costos'!B72+'E-Costos'!B73)*InfoInicial!B3</f>
        <v>1008383.728121207</v>
      </c>
      <c r="D19" s="64">
        <f>('E-Costos'!C70+'E-Costos'!C71+'E-Costos'!C72+'E-Costos'!C73)*InfoInicial!B3</f>
        <v>1225934.9939124521</v>
      </c>
      <c r="E19" s="64">
        <f>('E-Costos'!D70+'E-Costos'!D71+'E-Costos'!D72+'E-Costos'!D73)*InfoInicial!B3</f>
        <v>1225934.9939124521</v>
      </c>
      <c r="F19" s="64">
        <f>('E-Costos'!E70+'E-Costos'!E71+'E-Costos'!E72+'E-Costos'!E73)*InfoInicial!B3</f>
        <v>1225934.9939124521</v>
      </c>
      <c r="G19" s="64">
        <f>('E-Costos'!F70+'E-Costos'!F71+'E-Costos'!F72+'E-Costos'!F73)*InfoInicial!B3</f>
        <v>1225934.9939124521</v>
      </c>
    </row>
    <row r="20" spans="1:7" x14ac:dyDescent="0.2">
      <c r="A20" s="125"/>
      <c r="B20" s="122"/>
      <c r="C20" s="84"/>
      <c r="D20" s="84"/>
      <c r="E20" s="84"/>
      <c r="F20" s="84"/>
      <c r="G20" s="85"/>
    </row>
    <row r="21" spans="1:7" x14ac:dyDescent="0.2">
      <c r="A21" s="123" t="s">
        <v>223</v>
      </c>
      <c r="B21" s="122">
        <v>0</v>
      </c>
      <c r="C21" s="64">
        <f>C19+C18+C17</f>
        <v>2938421.4499724032</v>
      </c>
      <c r="D21" s="64">
        <f t="shared" ref="D21:G21" si="2">D19+D18+D17</f>
        <v>3834132.950321238</v>
      </c>
      <c r="E21" s="64">
        <f t="shared" si="2"/>
        <v>3834201.4164266093</v>
      </c>
      <c r="F21" s="64">
        <f t="shared" si="2"/>
        <v>3834201.4164266093</v>
      </c>
      <c r="G21" s="64">
        <f t="shared" si="2"/>
        <v>3834201.4164266093</v>
      </c>
    </row>
    <row r="22" spans="1:7" x14ac:dyDescent="0.2">
      <c r="A22" s="123" t="s">
        <v>224</v>
      </c>
      <c r="B22" s="122">
        <v>0</v>
      </c>
      <c r="C22" s="64">
        <f>'E-Costos'!B87*InfoInicial!B3</f>
        <v>21857921.085000001</v>
      </c>
      <c r="D22" s="64">
        <f>'E-Costos'!C87*InfoInicial!B3</f>
        <v>28702674</v>
      </c>
      <c r="E22" s="64">
        <f>'E-Costos'!D87*InfoInicial!B3</f>
        <v>28702674</v>
      </c>
      <c r="F22" s="64">
        <f>'E-Costos'!E87*InfoInicial!B3</f>
        <v>28702674</v>
      </c>
      <c r="G22" s="64">
        <f>'E-Costos'!F87*InfoInicial!B3</f>
        <v>28702674</v>
      </c>
    </row>
    <row r="23" spans="1:7" x14ac:dyDescent="0.2">
      <c r="A23" s="125" t="s">
        <v>225</v>
      </c>
      <c r="B23" s="122">
        <v>0</v>
      </c>
      <c r="C23" s="64">
        <f>C22-C21</f>
        <v>18919499.635027599</v>
      </c>
      <c r="D23" s="64">
        <f t="shared" ref="D23:G23" si="3">D22-D21</f>
        <v>24868541.049678762</v>
      </c>
      <c r="E23" s="64">
        <f t="shared" si="3"/>
        <v>24868472.58357339</v>
      </c>
      <c r="F23" s="64">
        <f t="shared" si="3"/>
        <v>24868472.58357339</v>
      </c>
      <c r="G23" s="64">
        <f t="shared" si="3"/>
        <v>24868472.58357339</v>
      </c>
    </row>
    <row r="24" spans="1:7" x14ac:dyDescent="0.2">
      <c r="A24" s="123"/>
      <c r="B24" s="122"/>
      <c r="C24" s="84"/>
      <c r="D24" s="84"/>
      <c r="E24" s="84"/>
      <c r="F24" s="84"/>
      <c r="G24" s="85"/>
    </row>
    <row r="25" spans="1:7" x14ac:dyDescent="0.2">
      <c r="A25" s="127" t="s">
        <v>226</v>
      </c>
      <c r="B25" s="122">
        <v>0</v>
      </c>
      <c r="C25" s="64">
        <f>B26</f>
        <v>9296509.9342764225</v>
      </c>
      <c r="D25" s="64">
        <v>0</v>
      </c>
      <c r="E25" s="64">
        <v>0</v>
      </c>
      <c r="F25" s="64">
        <v>0</v>
      </c>
      <c r="G25" s="65">
        <v>0</v>
      </c>
    </row>
    <row r="26" spans="1:7" x14ac:dyDescent="0.2">
      <c r="A26" s="127" t="s">
        <v>227</v>
      </c>
      <c r="B26" s="124">
        <f>'E-Cal Inv.'!C23+'E-Cal Inv.'!B23</f>
        <v>9296509.9342764225</v>
      </c>
      <c r="C26" s="64">
        <f>'E-Cal Inv.'!D23</f>
        <v>21076.885063124522</v>
      </c>
      <c r="D26" s="64">
        <f>'E-Cal Inv.'!E23</f>
        <v>8544.1876443268011</v>
      </c>
      <c r="E26" s="64">
        <f>'E-Cal Inv.'!F23</f>
        <v>0</v>
      </c>
      <c r="F26" s="64">
        <f>'E-Cal Inv.'!G23</f>
        <v>0</v>
      </c>
      <c r="G26" s="64">
        <f>'E-Cal Inv.'!H23</f>
        <v>0</v>
      </c>
    </row>
    <row r="27" spans="1:7" x14ac:dyDescent="0.2">
      <c r="A27" s="125" t="s">
        <v>228</v>
      </c>
      <c r="B27" s="124">
        <f>'E-Cal Inv.'!C23+'E-Cal Inv.'!B23</f>
        <v>9296509.9342764225</v>
      </c>
      <c r="C27" s="64">
        <v>0</v>
      </c>
      <c r="D27" s="64">
        <v>0</v>
      </c>
      <c r="E27" s="64">
        <v>0</v>
      </c>
      <c r="F27" s="64">
        <v>0</v>
      </c>
      <c r="G27" s="65">
        <v>0</v>
      </c>
    </row>
    <row r="28" spans="1:7" x14ac:dyDescent="0.2">
      <c r="A28" s="125" t="s">
        <v>229</v>
      </c>
      <c r="B28" s="124">
        <v>0</v>
      </c>
      <c r="C28" s="64">
        <f>C25+C26</f>
        <v>9317586.8193395473</v>
      </c>
      <c r="D28" s="64">
        <f>D26</f>
        <v>8544.1876443268011</v>
      </c>
      <c r="E28" s="64">
        <v>0</v>
      </c>
      <c r="F28" s="64">
        <v>0</v>
      </c>
      <c r="G28" s="65">
        <v>0</v>
      </c>
    </row>
    <row r="29" spans="1:7" x14ac:dyDescent="0.2">
      <c r="A29" s="123"/>
      <c r="B29" s="126"/>
      <c r="C29" s="84"/>
      <c r="D29" s="84"/>
      <c r="E29" s="84"/>
      <c r="F29" s="84"/>
      <c r="G29" s="85"/>
    </row>
    <row r="30" spans="1:7" x14ac:dyDescent="0.2">
      <c r="A30" s="128" t="s">
        <v>230</v>
      </c>
      <c r="B30" s="129">
        <v>0</v>
      </c>
      <c r="C30" s="70">
        <f>C23-C28</f>
        <v>9601912.8156880513</v>
      </c>
      <c r="D30" s="70">
        <f>D23-D28</f>
        <v>24859996.862034436</v>
      </c>
      <c r="E30" s="70">
        <f>E23</f>
        <v>24868472.58357339</v>
      </c>
      <c r="F30" s="70">
        <f>F23</f>
        <v>24868472.58357339</v>
      </c>
      <c r="G30" s="71">
        <f>G23</f>
        <v>24868472.58357339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selection activeCell="K16" sqref="K16"/>
    </sheetView>
  </sheetViews>
  <sheetFormatPr defaultColWidth="11.42578125" defaultRowHeight="12.75" x14ac:dyDescent="0.2"/>
  <cols>
    <col min="1" max="1" width="8" style="16" customWidth="1"/>
    <col min="2" max="2" width="16.42578125" style="16" customWidth="1"/>
    <col min="3" max="3" width="17.7109375" style="16" customWidth="1"/>
    <col min="4" max="4" width="16.7109375" style="16" customWidth="1"/>
    <col min="5" max="5" width="16.28515625" style="16" customWidth="1"/>
    <col min="6" max="6" width="16.85546875" style="16" customWidth="1"/>
    <col min="7" max="7" width="16.42578125" style="16" customWidth="1"/>
    <col min="8" max="8" width="17.28515625" style="16" customWidth="1"/>
    <col min="9" max="9" width="16.5703125" style="16" customWidth="1"/>
    <col min="10" max="10" width="15.85546875" style="16" customWidth="1"/>
    <col min="11" max="11" width="16.140625" style="16" customWidth="1"/>
    <col min="12" max="12" width="16.85546875" style="16" customWidth="1"/>
    <col min="13" max="13" width="16.7109375" style="16" customWidth="1"/>
    <col min="14" max="14" width="17.42578125" style="16" customWidth="1"/>
    <col min="15" max="16384" width="11.42578125" style="16"/>
  </cols>
  <sheetData>
    <row r="1" spans="1:13" x14ac:dyDescent="0.2">
      <c r="A1" s="1" t="s">
        <v>0</v>
      </c>
      <c r="B1"/>
      <c r="C1"/>
      <c r="D1"/>
      <c r="G1" s="16">
        <f>InfoInicial!E1</f>
        <v>1</v>
      </c>
      <c r="H1" s="2"/>
    </row>
    <row r="2" spans="1:13" ht="15.75" x14ac:dyDescent="0.25">
      <c r="A2" s="116" t="s">
        <v>231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8.25" x14ac:dyDescent="0.2">
      <c r="A3" s="120" t="s">
        <v>232</v>
      </c>
      <c r="B3" s="109" t="s">
        <v>233</v>
      </c>
      <c r="C3" s="109" t="s">
        <v>234</v>
      </c>
      <c r="D3" s="109" t="s">
        <v>235</v>
      </c>
      <c r="E3" s="109" t="s">
        <v>3</v>
      </c>
      <c r="F3" s="109" t="s">
        <v>236</v>
      </c>
      <c r="G3" s="109" t="s">
        <v>237</v>
      </c>
      <c r="H3" s="109" t="s">
        <v>238</v>
      </c>
      <c r="I3" s="109" t="s">
        <v>96</v>
      </c>
      <c r="J3" s="109" t="s">
        <v>239</v>
      </c>
      <c r="K3" s="109" t="s">
        <v>240</v>
      </c>
      <c r="L3" s="130" t="s">
        <v>241</v>
      </c>
      <c r="M3" s="131" t="s">
        <v>242</v>
      </c>
    </row>
    <row r="4" spans="1:13" x14ac:dyDescent="0.2">
      <c r="A4" s="132">
        <v>0</v>
      </c>
      <c r="B4" s="133">
        <f>'E-Inv AF y Am'!B33+'E-Inv AF y Am'!D33</f>
        <v>43539168.9375</v>
      </c>
      <c r="C4" s="62">
        <f>'E-Cal Inv.'!C18</f>
        <v>4010231.5876258239</v>
      </c>
      <c r="D4" s="62">
        <f>'E-IVA '!B26</f>
        <v>9296509.9342764225</v>
      </c>
      <c r="E4" s="62">
        <v>0</v>
      </c>
      <c r="F4" s="62">
        <v>0</v>
      </c>
      <c r="G4" s="62">
        <f>B4+C4+D4+E4+F4</f>
        <v>56845910.459402248</v>
      </c>
      <c r="H4" s="62">
        <v>0</v>
      </c>
      <c r="I4" s="62">
        <v>0</v>
      </c>
      <c r="J4" s="62">
        <v>0</v>
      </c>
      <c r="K4" s="62">
        <f>H4+I4+J4</f>
        <v>0</v>
      </c>
      <c r="L4" s="134">
        <f>K4-G4</f>
        <v>-56845910.459402248</v>
      </c>
      <c r="M4" s="63">
        <f>L4</f>
        <v>-56845910.459402248</v>
      </c>
    </row>
    <row r="5" spans="1:13" x14ac:dyDescent="0.2">
      <c r="A5" s="135">
        <v>1</v>
      </c>
      <c r="B5" s="124">
        <f>'E-Inv AF y Am'!C31</f>
        <v>2792028.4590802034</v>
      </c>
      <c r="C5" s="64">
        <f>'E-Cal Inv.'!D18</f>
        <v>8044227.0124966884</v>
      </c>
      <c r="D5" s="64">
        <f>'E-IVA '!C26</f>
        <v>21076.885063124522</v>
      </c>
      <c r="E5" s="64">
        <f>'E-Costos'!B116</f>
        <v>4686288.6104375934</v>
      </c>
      <c r="F5" s="64">
        <f>'E-Costos'!B117</f>
        <v>16584254.693604151</v>
      </c>
      <c r="G5" s="62">
        <f t="shared" ref="G5:G9" si="0">B5+C5+D5+E5+F5</f>
        <v>32127875.660681762</v>
      </c>
      <c r="H5" s="64">
        <f>'E-Costos'!B115</f>
        <v>52069873.4493066</v>
      </c>
      <c r="I5" s="64">
        <f>'E-Inv AF y Am'!D56</f>
        <v>4549907.2293160409</v>
      </c>
      <c r="J5" s="64">
        <f>'E-IVA '!C28</f>
        <v>9317586.8193395473</v>
      </c>
      <c r="K5" s="62">
        <f t="shared" ref="K5:K9" si="1">H5+I5+J5</f>
        <v>65937367.497962192</v>
      </c>
      <c r="L5" s="134">
        <f t="shared" ref="L5:L9" si="2">K5-G5</f>
        <v>33809491.83728043</v>
      </c>
      <c r="M5" s="65">
        <f>L5+L4</f>
        <v>-23036418.622121818</v>
      </c>
    </row>
    <row r="6" spans="1:13" x14ac:dyDescent="0.2">
      <c r="A6" s="135">
        <v>2</v>
      </c>
      <c r="B6" s="124">
        <v>0</v>
      </c>
      <c r="C6" s="64">
        <f>'E-Cal Inv.'!E18</f>
        <v>-221231.80501304902</v>
      </c>
      <c r="D6" s="64">
        <f>'E-IVA '!D26</f>
        <v>8544.1876443268011</v>
      </c>
      <c r="E6" s="64">
        <f>'E-Costos'!C116</f>
        <v>6620730.264346581</v>
      </c>
      <c r="F6" s="64">
        <f>'E-Costos'!C117</f>
        <v>23430028.768826511</v>
      </c>
      <c r="G6" s="62">
        <f t="shared" si="0"/>
        <v>29838071.415804371</v>
      </c>
      <c r="H6" s="64">
        <f>'E-Costos'!C115</f>
        <v>73563669.603850901</v>
      </c>
      <c r="I6" s="64">
        <f>'E-Inv AF y Am'!D56</f>
        <v>4549907.2293160409</v>
      </c>
      <c r="J6" s="64">
        <f>'E-IVA '!D28</f>
        <v>8544.1876443268011</v>
      </c>
      <c r="K6" s="62">
        <f t="shared" si="1"/>
        <v>78122121.020811275</v>
      </c>
      <c r="L6" s="134">
        <f t="shared" si="2"/>
        <v>48284049.605006903</v>
      </c>
      <c r="M6" s="65">
        <f>M5+L6</f>
        <v>25247630.982885085</v>
      </c>
    </row>
    <row r="7" spans="1:13" x14ac:dyDescent="0.2">
      <c r="A7" s="135">
        <v>3</v>
      </c>
      <c r="B7" s="124">
        <v>0</v>
      </c>
      <c r="C7" s="64">
        <f>'E-Cal Inv.'!F18</f>
        <v>-692.94851486264088</v>
      </c>
      <c r="D7" s="64">
        <f>'E-IVA '!E26</f>
        <v>0</v>
      </c>
      <c r="E7" s="64">
        <f>'E-Costos'!D116</f>
        <v>6621975.5181702906</v>
      </c>
      <c r="F7" s="64">
        <f>'E-Costos'!D117</f>
        <v>23434435.583747085</v>
      </c>
      <c r="G7" s="62">
        <f t="shared" si="0"/>
        <v>30055718.153402515</v>
      </c>
      <c r="H7" s="64">
        <f>'E-Costos'!D115</f>
        <v>73577505.757447675</v>
      </c>
      <c r="I7" s="64">
        <f>'E-Inv AF y Am'!D56</f>
        <v>4549907.2293160409</v>
      </c>
      <c r="J7" s="64">
        <f>'E-IVA '!E28</f>
        <v>0</v>
      </c>
      <c r="K7" s="62">
        <f t="shared" si="1"/>
        <v>78127412.986763716</v>
      </c>
      <c r="L7" s="134">
        <f t="shared" si="2"/>
        <v>48071694.833361201</v>
      </c>
      <c r="M7" s="65">
        <f>M6+L7</f>
        <v>73319325.816246286</v>
      </c>
    </row>
    <row r="8" spans="1:13" x14ac:dyDescent="0.2">
      <c r="A8" s="135">
        <v>4</v>
      </c>
      <c r="B8" s="124">
        <v>0</v>
      </c>
      <c r="C8" s="64">
        <f>'E-Cal Inv.'!G18</f>
        <v>-14495.181354277833</v>
      </c>
      <c r="D8" s="64">
        <f>'E-IVA '!F26</f>
        <v>0</v>
      </c>
      <c r="E8" s="64">
        <f>'E-Costos'!E116</f>
        <v>6648597.8823273415</v>
      </c>
      <c r="F8" s="64">
        <f>'E-Costos'!E117</f>
        <v>23528649.172458421</v>
      </c>
      <c r="G8" s="62">
        <f t="shared" si="0"/>
        <v>30162751.873431485</v>
      </c>
      <c r="H8" s="64">
        <f>'E-Costos'!E115</f>
        <v>73873309.803637132</v>
      </c>
      <c r="I8" s="64">
        <f>'E-Inv AF y Am'!E56</f>
        <v>4258805.2293160409</v>
      </c>
      <c r="J8" s="64">
        <f>'E-IVA '!F28</f>
        <v>0</v>
      </c>
      <c r="K8" s="62">
        <f t="shared" si="1"/>
        <v>78132115.032953173</v>
      </c>
      <c r="L8" s="134">
        <f t="shared" si="2"/>
        <v>47969363.159521684</v>
      </c>
      <c r="M8" s="65">
        <f>M7+L8</f>
        <v>121288688.97576797</v>
      </c>
    </row>
    <row r="9" spans="1:13" x14ac:dyDescent="0.2">
      <c r="A9" s="135">
        <v>5</v>
      </c>
      <c r="B9" s="124">
        <f>-('E-Inv AF y Am'!G51)</f>
        <v>-24163865.25</v>
      </c>
      <c r="C9" s="64">
        <f>'E-InvAT'!G25-(C4+C5+C6+C7+C8+'E-InvAT'!G25)</f>
        <v>-11818038.665240321</v>
      </c>
      <c r="D9" s="64">
        <f>'E-IVA '!G26</f>
        <v>0</v>
      </c>
      <c r="E9" s="64">
        <f>'E-Costos'!F116</f>
        <v>6648700.408613489</v>
      </c>
      <c r="F9" s="64">
        <f>'E-Costos'!F117</f>
        <v>23529012.001593292</v>
      </c>
      <c r="G9" s="62">
        <f t="shared" si="0"/>
        <v>-5804191.5050335377</v>
      </c>
      <c r="H9" s="64">
        <f>'E-Costos'!F115</f>
        <v>73874448.98459433</v>
      </c>
      <c r="I9" s="64">
        <f>'E-Inv AF y Am'!E56</f>
        <v>4258805.2293160409</v>
      </c>
      <c r="J9" s="64">
        <f>'E-IVA '!G28</f>
        <v>0</v>
      </c>
      <c r="K9" s="62">
        <f t="shared" si="1"/>
        <v>78133254.213910371</v>
      </c>
      <c r="L9" s="134">
        <f t="shared" si="2"/>
        <v>83937445.718943909</v>
      </c>
      <c r="M9" s="65">
        <f>M8+L9</f>
        <v>205226134.69471186</v>
      </c>
    </row>
    <row r="10" spans="1:13" x14ac:dyDescent="0.2">
      <c r="A10" s="135"/>
      <c r="B10" s="126"/>
      <c r="C10" s="84"/>
      <c r="D10" s="84"/>
      <c r="E10" s="84"/>
      <c r="F10" s="84"/>
      <c r="G10" s="84"/>
      <c r="H10" s="84"/>
      <c r="I10" s="84"/>
      <c r="J10" s="84"/>
      <c r="K10" s="84"/>
      <c r="L10" s="114"/>
      <c r="M10" s="85"/>
    </row>
    <row r="11" spans="1:13" x14ac:dyDescent="0.2">
      <c r="A11" s="136" t="s">
        <v>243</v>
      </c>
      <c r="B11" s="129">
        <f>B4+B5+B9+B6+B7+B8</f>
        <v>22167332.146580204</v>
      </c>
      <c r="C11" s="70">
        <f>C4+C5+C6+C7+C8+C9</f>
        <v>0</v>
      </c>
      <c r="D11" s="70">
        <f t="shared" ref="D11:K11" si="3">D4+D5+D6+D7+D8+D9</f>
        <v>9326131.0069838744</v>
      </c>
      <c r="E11" s="70">
        <f t="shared" si="3"/>
        <v>31226292.683895294</v>
      </c>
      <c r="F11" s="70">
        <f t="shared" si="3"/>
        <v>110506380.22022946</v>
      </c>
      <c r="G11" s="70">
        <f t="shared" si="3"/>
        <v>173226136.05768883</v>
      </c>
      <c r="H11" s="70">
        <f t="shared" si="3"/>
        <v>346958807.59883666</v>
      </c>
      <c r="I11" s="70">
        <f>I4+I5+I6+I7+I8+I9</f>
        <v>22167332.146580204</v>
      </c>
      <c r="J11" s="70">
        <f t="shared" si="3"/>
        <v>9326131.0069838744</v>
      </c>
      <c r="K11" s="70">
        <f t="shared" si="3"/>
        <v>378452270.75240076</v>
      </c>
      <c r="L11" s="70">
        <f>L4+L5+L6+L7+L8+L9</f>
        <v>205226134.69471186</v>
      </c>
      <c r="M11" s="71"/>
    </row>
    <row r="13" spans="1:13" x14ac:dyDescent="0.2">
      <c r="C13" s="137" t="s">
        <v>244</v>
      </c>
      <c r="D13" s="138">
        <f>H11-E11-F11</f>
        <v>205226134.69471192</v>
      </c>
    </row>
    <row r="14" spans="1:13" x14ac:dyDescent="0.2">
      <c r="A14" s="75"/>
      <c r="C14" s="137" t="s">
        <v>245</v>
      </c>
      <c r="D14" s="331">
        <f>D13/(B4+B5+C4+C5+C6+C7+C8+'E-InvAT'!G25)</f>
        <v>3.529304044697104</v>
      </c>
      <c r="E14" s="16" t="s">
        <v>246</v>
      </c>
      <c r="G14" s="332" t="s">
        <v>620</v>
      </c>
      <c r="H14" s="266">
        <v>0.2</v>
      </c>
      <c r="I14" s="332" t="s">
        <v>623</v>
      </c>
      <c r="J14" s="254">
        <f>L4+L5/(1+H15)^1+L6/(1+H15)^2+L7/(1+H15)^3+L8/(1+H15)^4+L9/(1+H15)^5</f>
        <v>403155.42304484919</v>
      </c>
    </row>
    <row r="15" spans="1:13" x14ac:dyDescent="0.2">
      <c r="C15" s="137" t="s">
        <v>247</v>
      </c>
      <c r="D15" s="334">
        <f>H15+(H16-H15)*(J14/(J14-J15))</f>
        <v>0.71525350685776778</v>
      </c>
      <c r="G15" s="16" t="s">
        <v>622</v>
      </c>
      <c r="H15" s="333">
        <v>0.71</v>
      </c>
      <c r="I15" s="332" t="s">
        <v>624</v>
      </c>
      <c r="J15" s="254">
        <f>L4+L5/(1+H16)^1+L6/(1+H16)^2+L7/(1+H16)^3+L8/(1+H16)^4+L9/(1+H16)^5</f>
        <v>-364247.06439787988</v>
      </c>
    </row>
    <row r="16" spans="1:13" x14ac:dyDescent="0.2">
      <c r="G16" s="254" t="s">
        <v>621</v>
      </c>
      <c r="H16" s="333">
        <v>0.72</v>
      </c>
      <c r="J16" s="254"/>
    </row>
    <row r="21" spans="6:6" x14ac:dyDescent="0.2">
      <c r="F21" s="254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workbookViewId="0">
      <selection activeCell="F1" sqref="F1"/>
    </sheetView>
  </sheetViews>
  <sheetFormatPr defaultColWidth="11.42578125" defaultRowHeight="12.75" x14ac:dyDescent="0.2"/>
  <cols>
    <col min="1" max="1" width="27.28515625" style="16" customWidth="1"/>
    <col min="2" max="9" width="15.140625" style="16" customWidth="1"/>
    <col min="10" max="16384" width="11.42578125" style="16"/>
  </cols>
  <sheetData>
    <row r="1" spans="1:9" x14ac:dyDescent="0.2">
      <c r="A1" s="1" t="s">
        <v>0</v>
      </c>
      <c r="B1"/>
      <c r="C1"/>
      <c r="D1"/>
      <c r="F1" s="141">
        <f>InfoInicial!E1</f>
        <v>1</v>
      </c>
      <c r="G1" s="2"/>
    </row>
    <row r="2" spans="1:9" ht="15.75" x14ac:dyDescent="0.25">
      <c r="A2" s="142" t="s">
        <v>248</v>
      </c>
      <c r="B2" s="89"/>
      <c r="C2" s="89"/>
      <c r="D2" s="89"/>
      <c r="E2" s="89"/>
      <c r="F2" s="89"/>
      <c r="G2" s="90"/>
    </row>
    <row r="3" spans="1:9" x14ac:dyDescent="0.2">
      <c r="A3" s="59" t="s">
        <v>88</v>
      </c>
      <c r="B3" s="358" t="s">
        <v>249</v>
      </c>
      <c r="C3" s="358"/>
      <c r="D3" s="358" t="s">
        <v>250</v>
      </c>
      <c r="E3" s="358"/>
      <c r="F3" s="359" t="s">
        <v>251</v>
      </c>
      <c r="G3" s="359"/>
    </row>
    <row r="4" spans="1:9" x14ac:dyDescent="0.2">
      <c r="A4" s="59" t="s">
        <v>74</v>
      </c>
      <c r="B4" s="143" t="s">
        <v>252</v>
      </c>
      <c r="C4" s="143" t="s">
        <v>253</v>
      </c>
      <c r="D4" s="143" t="s">
        <v>252</v>
      </c>
      <c r="E4" s="143" t="s">
        <v>253</v>
      </c>
      <c r="F4" s="143" t="s">
        <v>252</v>
      </c>
      <c r="G4" s="144" t="s">
        <v>253</v>
      </c>
    </row>
    <row r="5" spans="1:9" x14ac:dyDescent="0.2">
      <c r="A5" s="28" t="s">
        <v>254</v>
      </c>
      <c r="B5" s="64"/>
      <c r="C5" s="86"/>
      <c r="D5" s="64"/>
      <c r="E5" s="86"/>
      <c r="F5" s="64"/>
      <c r="G5" s="87"/>
    </row>
    <row r="6" spans="1:9" x14ac:dyDescent="0.2">
      <c r="A6" s="26" t="s">
        <v>255</v>
      </c>
      <c r="B6" s="64"/>
      <c r="C6" s="86"/>
      <c r="D6" s="64"/>
      <c r="E6" s="86"/>
      <c r="F6" s="64"/>
      <c r="G6" s="87"/>
    </row>
    <row r="7" spans="1:9" x14ac:dyDescent="0.2">
      <c r="A7" s="26" t="s">
        <v>256</v>
      </c>
      <c r="B7" s="64"/>
      <c r="C7" s="86"/>
      <c r="D7" s="64"/>
      <c r="E7" s="97"/>
      <c r="F7" s="64"/>
      <c r="G7" s="87"/>
    </row>
    <row r="8" spans="1:9" x14ac:dyDescent="0.2">
      <c r="A8" s="34" t="s">
        <v>192</v>
      </c>
      <c r="B8" s="145"/>
      <c r="C8" s="146"/>
      <c r="D8" s="145"/>
      <c r="E8" s="146"/>
      <c r="F8" s="145"/>
      <c r="G8" s="147"/>
    </row>
    <row r="9" spans="1:9" x14ac:dyDescent="0.2">
      <c r="A9" s="75"/>
      <c r="B9" s="55"/>
      <c r="C9" s="148"/>
      <c r="D9" s="55"/>
      <c r="E9" s="55"/>
      <c r="F9" s="55"/>
      <c r="G9" s="55"/>
    </row>
    <row r="10" spans="1:9" ht="15.75" x14ac:dyDescent="0.25">
      <c r="A10" s="149" t="s">
        <v>257</v>
      </c>
      <c r="B10" s="150"/>
      <c r="C10" s="150"/>
      <c r="D10" s="150"/>
      <c r="E10" s="150"/>
      <c r="F10" s="150"/>
      <c r="G10" s="150"/>
      <c r="H10" s="150"/>
      <c r="I10" s="151"/>
    </row>
    <row r="11" spans="1:9" x14ac:dyDescent="0.2">
      <c r="A11" s="152" t="s">
        <v>258</v>
      </c>
      <c r="B11" s="153" t="s">
        <v>259</v>
      </c>
      <c r="C11" s="153" t="s">
        <v>260</v>
      </c>
      <c r="D11" s="153" t="s">
        <v>261</v>
      </c>
      <c r="E11" s="153" t="s">
        <v>260</v>
      </c>
      <c r="F11" s="153" t="s">
        <v>262</v>
      </c>
      <c r="G11" s="153" t="s">
        <v>261</v>
      </c>
      <c r="H11" s="153"/>
      <c r="I11" s="154" t="s">
        <v>263</v>
      </c>
    </row>
    <row r="12" spans="1:9" x14ac:dyDescent="0.2">
      <c r="A12" s="155"/>
      <c r="B12" s="156"/>
      <c r="C12" s="156" t="s">
        <v>264</v>
      </c>
      <c r="D12" s="156" t="s">
        <v>264</v>
      </c>
      <c r="E12" s="156" t="s">
        <v>35</v>
      </c>
      <c r="F12" s="156" t="s">
        <v>265</v>
      </c>
      <c r="G12" s="156" t="s">
        <v>35</v>
      </c>
      <c r="H12" s="156" t="s">
        <v>266</v>
      </c>
      <c r="I12" s="157" t="s">
        <v>267</v>
      </c>
    </row>
    <row r="13" spans="1:9" x14ac:dyDescent="0.2">
      <c r="A13" s="158"/>
      <c r="B13" s="159"/>
      <c r="C13" s="159"/>
      <c r="D13" s="159"/>
      <c r="E13" s="159"/>
      <c r="F13" s="160"/>
      <c r="G13" s="159"/>
      <c r="H13" s="161"/>
      <c r="I13" s="162"/>
    </row>
    <row r="14" spans="1:9" x14ac:dyDescent="0.2">
      <c r="A14" s="163"/>
      <c r="B14" s="64"/>
      <c r="C14" s="64"/>
      <c r="D14" s="64"/>
      <c r="E14" s="64"/>
      <c r="F14" s="27"/>
      <c r="G14" s="64"/>
      <c r="H14" s="97"/>
      <c r="I14" s="65"/>
    </row>
    <row r="15" spans="1:9" x14ac:dyDescent="0.2">
      <c r="A15" s="163"/>
      <c r="B15" s="64"/>
      <c r="C15" s="64"/>
      <c r="D15" s="64"/>
      <c r="E15" s="64"/>
      <c r="F15" s="27"/>
      <c r="G15" s="64"/>
      <c r="H15" s="97"/>
      <c r="I15" s="65"/>
    </row>
    <row r="16" spans="1:9" x14ac:dyDescent="0.2">
      <c r="A16" s="163"/>
      <c r="B16" s="64"/>
      <c r="C16" s="64"/>
      <c r="D16" s="64"/>
      <c r="E16" s="64"/>
      <c r="F16" s="27"/>
      <c r="G16" s="64"/>
      <c r="H16" s="97"/>
      <c r="I16" s="65"/>
    </row>
    <row r="17" spans="1:9" x14ac:dyDescent="0.2">
      <c r="A17" s="163"/>
      <c r="B17" s="64"/>
      <c r="C17" s="64"/>
      <c r="D17" s="64"/>
      <c r="E17" s="64"/>
      <c r="F17" s="27"/>
      <c r="G17" s="64"/>
      <c r="H17" s="97"/>
      <c r="I17" s="65"/>
    </row>
    <row r="18" spans="1:9" x14ac:dyDescent="0.2">
      <c r="A18" s="163"/>
      <c r="B18" s="64"/>
      <c r="C18" s="64"/>
      <c r="D18" s="64"/>
      <c r="E18" s="64"/>
      <c r="F18" s="27"/>
      <c r="G18" s="64"/>
      <c r="H18" s="97"/>
      <c r="I18" s="65"/>
    </row>
    <row r="19" spans="1:9" x14ac:dyDescent="0.2">
      <c r="A19" s="163"/>
      <c r="B19" s="64"/>
      <c r="C19" s="64"/>
      <c r="D19" s="64"/>
      <c r="E19" s="64"/>
      <c r="F19" s="27"/>
      <c r="G19" s="64"/>
      <c r="H19" s="97"/>
      <c r="I19" s="65"/>
    </row>
    <row r="20" spans="1:9" x14ac:dyDescent="0.2">
      <c r="A20" s="164"/>
      <c r="B20" s="70"/>
      <c r="C20" s="70"/>
      <c r="D20" s="79"/>
      <c r="E20" s="70"/>
      <c r="F20" s="31"/>
      <c r="G20" s="79"/>
      <c r="H20" s="165"/>
      <c r="I20" s="80"/>
    </row>
    <row r="21" spans="1:9" x14ac:dyDescent="0.2">
      <c r="A21" s="166" t="s">
        <v>268</v>
      </c>
      <c r="B21" s="167"/>
      <c r="C21" s="167"/>
      <c r="D21" s="168"/>
      <c r="E21" s="167"/>
      <c r="F21" s="169"/>
      <c r="G21" s="168"/>
      <c r="H21" s="170"/>
      <c r="I21" s="168"/>
    </row>
    <row r="22" spans="1:9" x14ac:dyDescent="0.2">
      <c r="A22" s="158"/>
      <c r="B22" s="159"/>
      <c r="C22" s="159"/>
      <c r="D22" s="62"/>
      <c r="E22" s="159"/>
      <c r="F22" s="160"/>
      <c r="G22" s="62"/>
      <c r="H22" s="161"/>
      <c r="I22" s="63"/>
    </row>
    <row r="23" spans="1:9" x14ac:dyDescent="0.2">
      <c r="A23" s="163"/>
      <c r="B23" s="64"/>
      <c r="C23" s="64"/>
      <c r="D23" s="64"/>
      <c r="E23" s="64"/>
      <c r="F23" s="27"/>
      <c r="G23" s="64"/>
      <c r="H23" s="97"/>
      <c r="I23" s="65"/>
    </row>
    <row r="24" spans="1:9" x14ac:dyDescent="0.2">
      <c r="A24" s="171"/>
      <c r="B24" s="64"/>
      <c r="C24" s="64"/>
      <c r="D24" s="64"/>
      <c r="E24" s="64"/>
      <c r="F24" s="64"/>
      <c r="G24" s="64"/>
      <c r="H24" s="86"/>
      <c r="I24" s="65"/>
    </row>
    <row r="25" spans="1:9" x14ac:dyDescent="0.2">
      <c r="A25" s="171"/>
      <c r="B25" s="64"/>
      <c r="C25" s="64"/>
      <c r="D25" s="64"/>
      <c r="E25" s="64"/>
      <c r="F25" s="64"/>
      <c r="G25" s="64"/>
      <c r="H25" s="86"/>
      <c r="I25" s="65"/>
    </row>
    <row r="26" spans="1:9" x14ac:dyDescent="0.2">
      <c r="A26" s="171"/>
      <c r="B26" s="64"/>
      <c r="C26" s="64"/>
      <c r="D26" s="64"/>
      <c r="E26" s="64"/>
      <c r="F26" s="64"/>
      <c r="G26" s="64"/>
      <c r="H26" s="86"/>
      <c r="I26" s="65"/>
    </row>
    <row r="27" spans="1:9" x14ac:dyDescent="0.2">
      <c r="A27" s="171"/>
      <c r="B27" s="64"/>
      <c r="C27" s="64"/>
      <c r="D27" s="64"/>
      <c r="E27" s="64"/>
      <c r="F27" s="64"/>
      <c r="G27" s="64"/>
      <c r="H27" s="86"/>
      <c r="I27" s="65"/>
    </row>
    <row r="28" spans="1:9" x14ac:dyDescent="0.2">
      <c r="A28" s="171"/>
      <c r="B28" s="64"/>
      <c r="C28" s="64"/>
      <c r="D28" s="64"/>
      <c r="E28" s="64"/>
      <c r="F28" s="64"/>
      <c r="G28" s="64"/>
      <c r="H28" s="86"/>
      <c r="I28" s="65"/>
    </row>
    <row r="29" spans="1:9" x14ac:dyDescent="0.2">
      <c r="A29" s="171"/>
      <c r="B29" s="64"/>
      <c r="C29" s="64"/>
      <c r="D29" s="64"/>
      <c r="E29" s="64"/>
      <c r="F29" s="64"/>
      <c r="G29" s="64"/>
      <c r="H29" s="86"/>
      <c r="I29" s="65"/>
    </row>
    <row r="30" spans="1:9" x14ac:dyDescent="0.2">
      <c r="A30" s="171"/>
      <c r="B30" s="64"/>
      <c r="C30" s="64"/>
      <c r="D30" s="64"/>
      <c r="E30" s="64"/>
      <c r="F30" s="64"/>
      <c r="G30" s="64"/>
      <c r="H30" s="86"/>
      <c r="I30" s="65"/>
    </row>
    <row r="31" spans="1:9" x14ac:dyDescent="0.2">
      <c r="A31" s="171"/>
      <c r="B31" s="64"/>
      <c r="C31" s="64"/>
      <c r="D31" s="64"/>
      <c r="E31" s="64"/>
      <c r="F31" s="64"/>
      <c r="G31" s="64"/>
      <c r="H31" s="86"/>
      <c r="I31" s="65"/>
    </row>
    <row r="32" spans="1:9" x14ac:dyDescent="0.2">
      <c r="A32" s="171"/>
      <c r="B32" s="64"/>
      <c r="C32" s="64"/>
      <c r="D32" s="64"/>
      <c r="E32" s="64"/>
      <c r="F32" s="64"/>
      <c r="G32" s="64"/>
      <c r="H32" s="86"/>
      <c r="I32" s="65"/>
    </row>
    <row r="33" spans="1:9" x14ac:dyDescent="0.2">
      <c r="A33" s="171"/>
      <c r="B33" s="64"/>
      <c r="C33" s="64"/>
      <c r="D33" s="64"/>
      <c r="E33" s="64"/>
      <c r="F33" s="64"/>
      <c r="G33" s="64"/>
      <c r="H33" s="86"/>
      <c r="I33" s="65"/>
    </row>
    <row r="34" spans="1:9" x14ac:dyDescent="0.2">
      <c r="A34" s="171"/>
      <c r="B34" s="64"/>
      <c r="C34" s="64"/>
      <c r="D34" s="64"/>
      <c r="E34" s="64"/>
      <c r="F34" s="64"/>
      <c r="G34" s="64"/>
      <c r="H34" s="86"/>
      <c r="I34" s="65"/>
    </row>
    <row r="35" spans="1:9" x14ac:dyDescent="0.2">
      <c r="A35" s="171"/>
      <c r="B35" s="64"/>
      <c r="C35" s="64"/>
      <c r="D35" s="64"/>
      <c r="E35" s="64"/>
      <c r="F35" s="27"/>
      <c r="G35" s="64"/>
      <c r="H35" s="97"/>
      <c r="I35" s="65"/>
    </row>
    <row r="36" spans="1:9" x14ac:dyDescent="0.2">
      <c r="A36" s="171"/>
      <c r="B36" s="64"/>
      <c r="C36" s="64"/>
      <c r="D36" s="64"/>
      <c r="E36" s="64"/>
      <c r="F36" s="64"/>
      <c r="G36" s="64"/>
      <c r="H36" s="86"/>
      <c r="I36" s="65"/>
    </row>
    <row r="37" spans="1:9" x14ac:dyDescent="0.2">
      <c r="A37" s="171"/>
      <c r="B37" s="64"/>
      <c r="C37" s="64"/>
      <c r="D37" s="64"/>
      <c r="E37" s="64"/>
      <c r="F37" s="27"/>
      <c r="G37" s="64"/>
      <c r="H37" s="97"/>
      <c r="I37" s="65"/>
    </row>
    <row r="38" spans="1:9" x14ac:dyDescent="0.2">
      <c r="A38" s="171"/>
      <c r="B38" s="64"/>
      <c r="C38" s="64"/>
      <c r="D38" s="64"/>
      <c r="E38" s="64"/>
      <c r="F38" s="64"/>
      <c r="G38" s="64"/>
      <c r="H38" s="86"/>
      <c r="I38" s="65"/>
    </row>
    <row r="39" spans="1:9" x14ac:dyDescent="0.2">
      <c r="A39" s="171"/>
      <c r="B39" s="64"/>
      <c r="C39" s="64"/>
      <c r="D39" s="64"/>
      <c r="E39" s="64"/>
      <c r="F39" s="27"/>
      <c r="G39" s="64"/>
      <c r="H39" s="97"/>
      <c r="I39" s="65"/>
    </row>
    <row r="40" spans="1:9" x14ac:dyDescent="0.2">
      <c r="A40" s="171"/>
      <c r="B40" s="64"/>
      <c r="C40" s="64"/>
      <c r="D40" s="64"/>
      <c r="E40" s="64"/>
      <c r="F40" s="64"/>
      <c r="G40" s="64"/>
      <c r="H40" s="86"/>
      <c r="I40" s="65"/>
    </row>
    <row r="41" spans="1:9" x14ac:dyDescent="0.2">
      <c r="A41" s="171"/>
      <c r="B41" s="64"/>
      <c r="C41" s="64"/>
      <c r="D41" s="64"/>
      <c r="E41" s="64"/>
      <c r="F41" s="27"/>
      <c r="G41" s="64"/>
      <c r="H41" s="97"/>
      <c r="I41" s="65"/>
    </row>
    <row r="42" spans="1:9" x14ac:dyDescent="0.2">
      <c r="A42" s="171"/>
      <c r="B42" s="64"/>
      <c r="C42" s="64"/>
      <c r="D42" s="64"/>
      <c r="E42" s="64"/>
      <c r="F42" s="64"/>
      <c r="G42" s="64"/>
      <c r="H42" s="86"/>
      <c r="I42" s="65"/>
    </row>
    <row r="43" spans="1:9" x14ac:dyDescent="0.2">
      <c r="A43" s="171"/>
      <c r="B43" s="64"/>
      <c r="C43" s="64"/>
      <c r="D43" s="64"/>
      <c r="E43" s="64"/>
      <c r="F43" s="27"/>
      <c r="G43" s="64"/>
      <c r="H43" s="97"/>
      <c r="I43" s="65"/>
    </row>
    <row r="44" spans="1:9" x14ac:dyDescent="0.2">
      <c r="A44" s="171"/>
      <c r="B44" s="64"/>
      <c r="C44" s="64"/>
      <c r="D44" s="64"/>
      <c r="E44" s="64"/>
      <c r="F44" s="64"/>
      <c r="G44" s="64"/>
      <c r="H44" s="86"/>
      <c r="I44" s="65"/>
    </row>
    <row r="45" spans="1:9" x14ac:dyDescent="0.2">
      <c r="A45" s="171"/>
      <c r="B45" s="64"/>
      <c r="C45" s="64"/>
      <c r="D45" s="64"/>
      <c r="E45" s="64"/>
      <c r="F45" s="27"/>
      <c r="G45" s="64"/>
      <c r="H45" s="97"/>
      <c r="I45" s="65"/>
    </row>
    <row r="46" spans="1:9" x14ac:dyDescent="0.2">
      <c r="A46" s="171"/>
      <c r="B46" s="64"/>
      <c r="C46" s="64"/>
      <c r="D46" s="64"/>
      <c r="E46" s="64"/>
      <c r="F46" s="64"/>
      <c r="G46" s="64"/>
      <c r="H46" s="86"/>
      <c r="I46" s="65"/>
    </row>
    <row r="47" spans="1:9" x14ac:dyDescent="0.2">
      <c r="A47" s="171"/>
      <c r="B47" s="64"/>
      <c r="C47" s="64"/>
      <c r="D47" s="64"/>
      <c r="E47" s="64"/>
      <c r="F47" s="27"/>
      <c r="G47" s="64"/>
      <c r="H47" s="97"/>
      <c r="I47" s="65"/>
    </row>
    <row r="48" spans="1:9" x14ac:dyDescent="0.2">
      <c r="A48" s="171"/>
      <c r="B48" s="64"/>
      <c r="C48" s="64"/>
      <c r="D48" s="64"/>
      <c r="E48" s="64"/>
      <c r="F48" s="64"/>
      <c r="G48" s="64"/>
      <c r="H48" s="86"/>
      <c r="I48" s="65"/>
    </row>
    <row r="49" spans="1:9" x14ac:dyDescent="0.2">
      <c r="A49" s="171"/>
      <c r="B49" s="64"/>
      <c r="C49" s="64"/>
      <c r="D49" s="64"/>
      <c r="E49" s="64"/>
      <c r="F49" s="27"/>
      <c r="G49" s="64"/>
      <c r="H49" s="97"/>
      <c r="I49" s="65"/>
    </row>
    <row r="50" spans="1:9" x14ac:dyDescent="0.2">
      <c r="A50" s="171"/>
      <c r="B50" s="64"/>
      <c r="C50" s="64"/>
      <c r="D50" s="64"/>
      <c r="E50" s="64"/>
      <c r="F50" s="64"/>
      <c r="G50" s="64"/>
      <c r="H50" s="86"/>
      <c r="I50" s="65"/>
    </row>
    <row r="51" spans="1:9" x14ac:dyDescent="0.2">
      <c r="A51" s="171"/>
      <c r="B51" s="64"/>
      <c r="C51" s="64"/>
      <c r="D51" s="64"/>
      <c r="E51" s="64"/>
      <c r="F51" s="27"/>
      <c r="G51" s="64"/>
      <c r="H51" s="97"/>
      <c r="I51" s="65"/>
    </row>
    <row r="52" spans="1:9" x14ac:dyDescent="0.2">
      <c r="A52" s="171"/>
      <c r="B52" s="64"/>
      <c r="C52" s="64"/>
      <c r="D52" s="64"/>
      <c r="E52" s="64"/>
      <c r="F52" s="64"/>
      <c r="G52" s="64"/>
      <c r="H52" s="86"/>
      <c r="I52" s="65"/>
    </row>
    <row r="53" spans="1:9" x14ac:dyDescent="0.2">
      <c r="A53" s="163"/>
      <c r="B53" s="64"/>
      <c r="C53" s="64"/>
      <c r="D53" s="64"/>
      <c r="E53" s="64"/>
      <c r="F53" s="27"/>
      <c r="G53" s="64"/>
      <c r="H53" s="97"/>
      <c r="I53" s="65"/>
    </row>
    <row r="54" spans="1:9" x14ac:dyDescent="0.2">
      <c r="A54" s="83" t="s">
        <v>269</v>
      </c>
      <c r="B54" s="145"/>
      <c r="C54" s="145"/>
      <c r="D54" s="145"/>
      <c r="E54" s="145"/>
      <c r="F54" s="172"/>
      <c r="G54" s="145"/>
      <c r="H54" s="173"/>
      <c r="I54" s="174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opLeftCell="C1" workbookViewId="0">
      <selection activeCell="F1" sqref="F1"/>
    </sheetView>
  </sheetViews>
  <sheetFormatPr defaultColWidth="11.42578125" defaultRowHeight="12.75" x14ac:dyDescent="0.2"/>
  <cols>
    <col min="1" max="1" width="32.140625" style="175" customWidth="1"/>
    <col min="2" max="7" width="14" style="175" customWidth="1"/>
    <col min="8" max="8" width="17.42578125" style="175" customWidth="1"/>
    <col min="9" max="16384" width="11.42578125" style="175"/>
  </cols>
  <sheetData>
    <row r="1" spans="1:7" x14ac:dyDescent="0.2">
      <c r="A1" s="1" t="s">
        <v>0</v>
      </c>
      <c r="B1"/>
      <c r="C1"/>
      <c r="D1"/>
      <c r="E1" s="141"/>
      <c r="F1" s="2">
        <f>InfoInicial!E1</f>
        <v>1</v>
      </c>
    </row>
    <row r="2" spans="1:7" ht="15.75" x14ac:dyDescent="0.25">
      <c r="A2" s="176" t="s">
        <v>270</v>
      </c>
      <c r="B2" s="177"/>
      <c r="C2" s="177"/>
      <c r="D2" s="177"/>
      <c r="E2" s="177"/>
      <c r="F2" s="177"/>
      <c r="G2" s="178"/>
    </row>
    <row r="3" spans="1:7" x14ac:dyDescent="0.2">
      <c r="A3" s="179" t="s">
        <v>88</v>
      </c>
      <c r="B3" s="180" t="s">
        <v>48</v>
      </c>
      <c r="C3" s="180" t="s">
        <v>89</v>
      </c>
      <c r="D3" s="180" t="s">
        <v>90</v>
      </c>
      <c r="E3" s="180" t="s">
        <v>91</v>
      </c>
      <c r="F3" s="181" t="s">
        <v>92</v>
      </c>
      <c r="G3" s="182" t="s">
        <v>192</v>
      </c>
    </row>
    <row r="4" spans="1:7" x14ac:dyDescent="0.2">
      <c r="A4" s="175" t="s">
        <v>271</v>
      </c>
      <c r="B4" s="64"/>
      <c r="C4" s="64"/>
      <c r="D4" s="64"/>
      <c r="E4" s="64"/>
      <c r="F4" s="113"/>
      <c r="G4" s="65"/>
    </row>
    <row r="5" spans="1:7" x14ac:dyDescent="0.2">
      <c r="A5" s="175" t="s">
        <v>272</v>
      </c>
      <c r="B5" s="64"/>
      <c r="C5" s="64"/>
      <c r="D5" s="64"/>
      <c r="E5" s="64"/>
      <c r="F5" s="113"/>
      <c r="G5" s="65"/>
    </row>
    <row r="6" spans="1:7" x14ac:dyDescent="0.2">
      <c r="A6" s="175" t="s">
        <v>273</v>
      </c>
      <c r="B6" s="64"/>
      <c r="C6" s="64"/>
      <c r="D6" s="64"/>
      <c r="E6" s="64"/>
      <c r="F6" s="113"/>
      <c r="G6" s="65"/>
    </row>
    <row r="7" spans="1:7" x14ac:dyDescent="0.2">
      <c r="A7" s="175" t="s">
        <v>114</v>
      </c>
      <c r="B7" s="84"/>
      <c r="C7" s="84"/>
      <c r="D7" s="84"/>
      <c r="E7" s="84"/>
      <c r="F7" s="114"/>
      <c r="G7" s="85"/>
    </row>
    <row r="8" spans="1:7" x14ac:dyDescent="0.2">
      <c r="A8" s="175" t="s">
        <v>274</v>
      </c>
      <c r="B8" s="64"/>
      <c r="C8" s="64"/>
      <c r="D8" s="64"/>
      <c r="E8" s="64"/>
      <c r="F8" s="113"/>
      <c r="G8" s="65"/>
    </row>
    <row r="9" spans="1:7" x14ac:dyDescent="0.2">
      <c r="A9" s="175" t="s">
        <v>275</v>
      </c>
      <c r="B9" s="64"/>
      <c r="C9" s="64"/>
      <c r="D9" s="64"/>
      <c r="E9" s="64"/>
      <c r="F9" s="113"/>
      <c r="G9" s="65"/>
    </row>
    <row r="10" spans="1:7" x14ac:dyDescent="0.2">
      <c r="A10" s="175" t="s">
        <v>276</v>
      </c>
      <c r="B10" s="64"/>
      <c r="C10" s="64"/>
      <c r="D10" s="64"/>
      <c r="E10" s="64"/>
      <c r="F10" s="113"/>
      <c r="G10" s="65"/>
    </row>
    <row r="11" spans="1:7" x14ac:dyDescent="0.2">
      <c r="A11" s="183" t="s">
        <v>277</v>
      </c>
      <c r="B11" s="64"/>
      <c r="C11" s="64"/>
      <c r="D11" s="64"/>
      <c r="E11" s="64"/>
      <c r="F11" s="113"/>
      <c r="G11" s="65"/>
    </row>
    <row r="12" spans="1:7" x14ac:dyDescent="0.2">
      <c r="A12" s="175" t="s">
        <v>278</v>
      </c>
      <c r="B12" s="64"/>
      <c r="C12" s="64"/>
      <c r="D12" s="64"/>
      <c r="E12" s="64"/>
      <c r="F12" s="113"/>
      <c r="G12" s="65"/>
    </row>
    <row r="13" spans="1:7" x14ac:dyDescent="0.2">
      <c r="A13" s="184" t="s">
        <v>279</v>
      </c>
      <c r="B13" s="64"/>
      <c r="C13" s="64"/>
      <c r="D13" s="64"/>
      <c r="E13" s="64"/>
      <c r="F13" s="113"/>
      <c r="G13" s="65"/>
    </row>
    <row r="14" spans="1:7" x14ac:dyDescent="0.2">
      <c r="A14" s="185" t="s">
        <v>280</v>
      </c>
      <c r="B14" s="70"/>
      <c r="C14" s="70"/>
      <c r="D14" s="70"/>
      <c r="E14" s="70"/>
      <c r="F14" s="115"/>
      <c r="G14" s="71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InfoInicial</vt:lpstr>
      <vt:lpstr>E-Inv AF y Am</vt:lpstr>
      <vt:lpstr>E-Costos</vt:lpstr>
      <vt:lpstr>E-InvAT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'E-Costos'!Print_Area</vt:lpstr>
      <vt:lpstr>'F- CFyU'!Print_Area</vt:lpstr>
      <vt:lpstr>'F-Balance'!Print_Area</vt:lpstr>
      <vt:lpstr>'F-Cred'!Print_Area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</dc:creator>
  <cp:lastModifiedBy>Usuario de Windows</cp:lastModifiedBy>
  <dcterms:created xsi:type="dcterms:W3CDTF">2017-09-01T03:27:48Z</dcterms:created>
  <dcterms:modified xsi:type="dcterms:W3CDTF">2017-09-16T19:29:40Z</dcterms:modified>
</cp:coreProperties>
</file>