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260" windowHeight="11760" tabRatio="988" firstSheet="6" activeTab="19"/>
  </bookViews>
  <sheets>
    <sheet name="Datos" sheetId="25" r:id="rId1"/>
    <sheet name="InfoInicial" sheetId="1" r:id="rId2"/>
    <sheet name="E-Inv AF y Am" sheetId="2" r:id="rId3"/>
    <sheet name="E-Costos" sheetId="3" r:id="rId4"/>
    <sheet name="gastos materiales" sheetId="27" r:id="rId5"/>
    <sheet name="gastos energia" sheetId="28" r:id="rId6"/>
    <sheet name="punto de equilibrio" sheetId="20" r:id="rId7"/>
    <sheet name="E-InvAT" sheetId="4" r:id="rId8"/>
    <sheet name="E-Cal Inv." sheetId="5" r:id="rId9"/>
    <sheet name="E-IVA " sheetId="6" r:id="rId10"/>
    <sheet name="E-Form" sheetId="7" r:id="rId11"/>
    <sheet name="F-Cred" sheetId="8" r:id="rId12"/>
    <sheet name="Crédito edificio(no renovable)" sheetId="23" r:id="rId13"/>
    <sheet name="Crédito renovable" sheetId="22" r:id="rId14"/>
    <sheet name="F-CRes" sheetId="9" r:id="rId15"/>
    <sheet name="F-2 Estructura" sheetId="10" r:id="rId16"/>
    <sheet name="F-IVA" sheetId="11" r:id="rId17"/>
    <sheet name="F- CFyU" sheetId="12" r:id="rId18"/>
    <sheet name="F-Balance" sheetId="13" r:id="rId19"/>
    <sheet name="F- Form" sheetId="14" r:id="rId20"/>
    <sheet name="Consumo MP" sheetId="15" r:id="rId21"/>
    <sheet name="Cuadro resumen" sheetId="18" r:id="rId22"/>
    <sheet name="Stocks Mp" sheetId="19" r:id="rId23"/>
    <sheet name="Salarios" sheetId="16" r:id="rId24"/>
    <sheet name="Bienes de uso" sheetId="21" r:id="rId25"/>
  </sheets>
  <externalReferences>
    <externalReference r:id="rId26"/>
  </externalReferences>
  <definedNames>
    <definedName name="_xlnm.Print_Area" localSheetId="3">('E-Costos'!$A$3:$G$46,'E-Costos'!$A$49:$F$80,'E-Costos'!$A$83:$F$135)</definedName>
    <definedName name="_xlnm.Print_Area" localSheetId="17">'F- CFyU'!$A$3:$H$28</definedName>
    <definedName name="_xlnm.Print_Area" localSheetId="18">'F-Balance'!$A$3:$G$35</definedName>
    <definedName name="_xlnm.Print_Area" localSheetId="11">'F-Cred'!$A$1:$I$54</definedName>
    <definedName name="Excel_BuiltIn_Print_Area" localSheetId="17">('F- CFyU'!#REF!,'F- CFyU'!#REF!,'F- CFyU'!$A$3:$H$28)</definedName>
    <definedName name="Excel_BuiltIn_Print_Area" localSheetId="18">('F-Balance'!#REF!,'F-Balance'!#REF!,'F-Balance'!$A$3:$G$35)</definedName>
  </definedNames>
  <calcPr calcId="124519"/>
</workbook>
</file>

<file path=xl/calcChain.xml><?xml version="1.0" encoding="utf-8"?>
<calcChain xmlns="http://schemas.openxmlformats.org/spreadsheetml/2006/main">
  <c r="C29" i="10"/>
  <c r="B30"/>
  <c r="E10" i="12"/>
  <c r="F10"/>
  <c r="G10"/>
  <c r="D10"/>
  <c r="C10"/>
  <c r="C25"/>
  <c r="C19" i="10"/>
  <c r="C18"/>
  <c r="D14"/>
  <c r="C14"/>
  <c r="D13"/>
  <c r="C13"/>
  <c r="D12"/>
  <c r="C12"/>
  <c r="I5" i="14"/>
  <c r="F10"/>
  <c r="F9"/>
  <c r="F8"/>
  <c r="F7"/>
  <c r="F5"/>
  <c r="F6"/>
  <c r="H7" i="10" l="1"/>
  <c r="B21" i="8"/>
  <c r="D35" i="28"/>
  <c r="D33"/>
  <c r="D31"/>
  <c r="D23"/>
  <c r="D25" s="1"/>
  <c r="C2"/>
  <c r="C18"/>
  <c r="C21"/>
  <c r="C20"/>
  <c r="D27" l="1"/>
  <c r="C3"/>
  <c r="C4" l="1"/>
  <c r="C16" s="1"/>
  <c r="D26" s="1"/>
  <c r="D34" s="1"/>
  <c r="C15"/>
  <c r="C17" l="1"/>
  <c r="D24" s="1"/>
  <c r="D28" l="1"/>
  <c r="D32"/>
  <c r="C19"/>
  <c r="D36" l="1"/>
  <c r="E36" s="1"/>
  <c r="B13" i="3" s="1"/>
  <c r="E28" i="28"/>
  <c r="D30" i="14"/>
  <c r="C25"/>
  <c r="C26"/>
  <c r="C27"/>
  <c r="E19" i="13"/>
  <c r="F10" i="2"/>
  <c r="F17"/>
  <c r="F21"/>
  <c r="F22"/>
  <c r="F23"/>
  <c r="F24"/>
  <c r="F25"/>
  <c r="F26"/>
  <c r="F27"/>
  <c r="F28"/>
  <c r="F30"/>
  <c r="F32"/>
  <c r="F35"/>
  <c r="E13" i="3" l="1"/>
  <c r="C13"/>
  <c r="D13"/>
  <c r="F13"/>
  <c r="E5" i="27"/>
  <c r="B7" i="2"/>
  <c r="F7" s="1"/>
  <c r="B8"/>
  <c r="F8" s="1"/>
  <c r="B9"/>
  <c r="F9" s="1"/>
  <c r="H15" i="16" l="1"/>
  <c r="C29" i="2" l="1"/>
  <c r="B29"/>
  <c r="F29" l="1"/>
  <c r="C31"/>
  <c r="C44"/>
  <c r="B9" i="13"/>
  <c r="H20" i="12"/>
  <c r="C9"/>
  <c r="B8"/>
  <c r="B13" i="10"/>
  <c r="I3" i="23" l="1"/>
  <c r="E3"/>
  <c r="H159" i="3" l="1"/>
  <c r="C152"/>
  <c r="C151"/>
  <c r="C150"/>
  <c r="C149"/>
  <c r="C148"/>
  <c r="C147"/>
  <c r="C146"/>
  <c r="C153" s="1"/>
  <c r="B14" i="2"/>
  <c r="F14" s="1"/>
  <c r="E4" i="21"/>
  <c r="E5"/>
  <c r="E6"/>
  <c r="E7"/>
  <c r="E8"/>
  <c r="E9"/>
  <c r="E10"/>
  <c r="E11"/>
  <c r="E13"/>
  <c r="E14"/>
  <c r="E15"/>
  <c r="E16"/>
  <c r="E17"/>
  <c r="E18"/>
  <c r="E19"/>
  <c r="E20"/>
  <c r="E23"/>
  <c r="E26"/>
  <c r="E27"/>
  <c r="E28"/>
  <c r="E29"/>
  <c r="E30"/>
  <c r="E31"/>
  <c r="E32"/>
  <c r="E3"/>
  <c r="E21" s="1"/>
  <c r="B12" i="2" s="1"/>
  <c r="B15"/>
  <c r="F15" s="1"/>
  <c r="D11"/>
  <c r="F11" s="1"/>
  <c r="F12" l="1"/>
  <c r="E33" i="21"/>
  <c r="B16" i="2" s="1"/>
  <c r="C154" i="3"/>
  <c r="C156" s="1"/>
  <c r="C155"/>
  <c r="E4" i="7"/>
  <c r="B48" i="2" l="1"/>
  <c r="F16"/>
  <c r="G1" i="7"/>
  <c r="C13" i="6"/>
  <c r="D11"/>
  <c r="E11"/>
  <c r="F11"/>
  <c r="G11"/>
  <c r="C11"/>
  <c r="D9"/>
  <c r="E9"/>
  <c r="F9"/>
  <c r="G9"/>
  <c r="C9"/>
  <c r="C16" i="5"/>
  <c r="C17"/>
  <c r="N42" i="19"/>
  <c r="E42"/>
  <c r="J21"/>
  <c r="O21"/>
  <c r="E21"/>
  <c r="E8" i="5"/>
  <c r="F8"/>
  <c r="G8"/>
  <c r="H8"/>
  <c r="H21" s="1"/>
  <c r="D8"/>
  <c r="B32" i="4"/>
  <c r="B15" i="6" s="1"/>
  <c r="B33" i="4"/>
  <c r="B16" i="6" s="1"/>
  <c r="G21" i="5" l="1"/>
  <c r="B8" i="7"/>
  <c r="E21" i="5"/>
  <c r="B6" i="7"/>
  <c r="D21" i="5"/>
  <c r="F21"/>
  <c r="B7" i="7"/>
  <c r="L25" i="15" l="1"/>
  <c r="M25" s="1"/>
  <c r="N25"/>
  <c r="P25" s="1"/>
  <c r="L26"/>
  <c r="M26" s="1"/>
  <c r="N26"/>
  <c r="P26" s="1"/>
  <c r="L27"/>
  <c r="M27" s="1"/>
  <c r="Q8"/>
  <c r="N27" s="1"/>
  <c r="P27" s="1"/>
  <c r="L28"/>
  <c r="M28"/>
  <c r="O28" s="1"/>
  <c r="N28"/>
  <c r="P28" s="1"/>
  <c r="L29"/>
  <c r="M29" s="1"/>
  <c r="O29" s="1"/>
  <c r="N29"/>
  <c r="P29" s="1"/>
  <c r="L30"/>
  <c r="M30"/>
  <c r="O30" s="1"/>
  <c r="N30"/>
  <c r="P30" s="1"/>
  <c r="L31"/>
  <c r="M31" s="1"/>
  <c r="O31" s="1"/>
  <c r="N31"/>
  <c r="P31" s="1"/>
  <c r="L32"/>
  <c r="M32"/>
  <c r="O32" s="1"/>
  <c r="N32"/>
  <c r="P32" s="1"/>
  <c r="L33"/>
  <c r="M33" s="1"/>
  <c r="O33" s="1"/>
  <c r="N33"/>
  <c r="P33" s="1"/>
  <c r="L34"/>
  <c r="M34"/>
  <c r="O34" s="1"/>
  <c r="N34"/>
  <c r="P34" s="1"/>
  <c r="L35"/>
  <c r="M35" s="1"/>
  <c r="O35" s="1"/>
  <c r="N35"/>
  <c r="P35" s="1"/>
  <c r="C6" i="16"/>
  <c r="C10"/>
  <c r="C5"/>
  <c r="C7"/>
  <c r="E8" i="6"/>
  <c r="D8"/>
  <c r="P6" i="15"/>
  <c r="R6"/>
  <c r="P7"/>
  <c r="R7" s="1"/>
  <c r="P8"/>
  <c r="R8" s="1"/>
  <c r="P9"/>
  <c r="R9" s="1"/>
  <c r="P10"/>
  <c r="R10" s="1"/>
  <c r="P11"/>
  <c r="R11" s="1"/>
  <c r="P12"/>
  <c r="R12" s="1"/>
  <c r="P13"/>
  <c r="R13" s="1"/>
  <c r="P14"/>
  <c r="R14" s="1"/>
  <c r="P15"/>
  <c r="R15" s="1"/>
  <c r="P16"/>
  <c r="R16" s="1"/>
  <c r="R17"/>
  <c r="R18"/>
  <c r="F8" i="6"/>
  <c r="G8"/>
  <c r="C45" i="2"/>
  <c r="B13"/>
  <c r="C46"/>
  <c r="B47"/>
  <c r="C47"/>
  <c r="C48"/>
  <c r="C49"/>
  <c r="C50"/>
  <c r="C2" i="16"/>
  <c r="C3"/>
  <c r="C51" i="3" s="1"/>
  <c r="D51" s="1"/>
  <c r="E51" s="1"/>
  <c r="F51" s="1"/>
  <c r="C4" i="16"/>
  <c r="C8"/>
  <c r="F68" i="3" s="1"/>
  <c r="B43" i="2"/>
  <c r="G43" s="1"/>
  <c r="C18"/>
  <c r="C85" i="3"/>
  <c r="D85" s="1"/>
  <c r="C86"/>
  <c r="B85"/>
  <c r="B86"/>
  <c r="B104" s="1"/>
  <c r="C13" i="4" s="1"/>
  <c r="B7" i="5"/>
  <c r="B8" s="1"/>
  <c r="C53" i="2"/>
  <c r="D13" i="4"/>
  <c r="D86" i="3"/>
  <c r="C68"/>
  <c r="E13" i="4"/>
  <c r="E86" i="3"/>
  <c r="F13" i="4"/>
  <c r="F86" i="3"/>
  <c r="G13" i="4"/>
  <c r="B100" i="3"/>
  <c r="C96"/>
  <c r="D96"/>
  <c r="E96"/>
  <c r="F96"/>
  <c r="B96"/>
  <c r="I15" i="16"/>
  <c r="D31" i="2"/>
  <c r="E31"/>
  <c r="G1" i="5"/>
  <c r="E3" i="3"/>
  <c r="E1" i="2"/>
  <c r="E1" i="4"/>
  <c r="G1" i="6"/>
  <c r="E1" i="12"/>
  <c r="G1" i="14"/>
  <c r="D1" i="10"/>
  <c r="E1" i="13"/>
  <c r="F1" i="8"/>
  <c r="F1" i="9"/>
  <c r="E1" i="11"/>
  <c r="B68" i="3" l="1"/>
  <c r="P39" i="15"/>
  <c r="F13" i="2"/>
  <c r="B46"/>
  <c r="B19"/>
  <c r="C33"/>
  <c r="C7" i="10"/>
  <c r="C12" i="16"/>
  <c r="B51" i="3"/>
  <c r="C100"/>
  <c r="B21" i="5"/>
  <c r="B23" s="1"/>
  <c r="B25" s="1"/>
  <c r="B3" i="23"/>
  <c r="F3" s="1"/>
  <c r="D5" i="8"/>
  <c r="C87" i="3"/>
  <c r="F8"/>
  <c r="D68"/>
  <c r="E68"/>
  <c r="D47" i="2"/>
  <c r="E47" s="1"/>
  <c r="E8" i="3"/>
  <c r="E90" s="1"/>
  <c r="B15"/>
  <c r="C15" s="1"/>
  <c r="D15" s="1"/>
  <c r="O26" i="15"/>
  <c r="D8" i="3"/>
  <c r="D90" s="1"/>
  <c r="C11" i="16"/>
  <c r="C8" i="3"/>
  <c r="E6" i="27" s="1"/>
  <c r="C9" i="16"/>
  <c r="D48" i="2"/>
  <c r="E48" s="1"/>
  <c r="R19" i="15"/>
  <c r="B7" i="3" s="1"/>
  <c r="O27" i="15"/>
  <c r="O25"/>
  <c r="D87" i="3"/>
  <c r="E85"/>
  <c r="E100" s="1"/>
  <c r="D100"/>
  <c r="B87"/>
  <c r="B57"/>
  <c r="C57" s="1"/>
  <c r="D57" s="1"/>
  <c r="E57" s="1"/>
  <c r="F57" s="1"/>
  <c r="B44" i="19"/>
  <c r="B10" i="4" s="1"/>
  <c r="B30" s="1"/>
  <c r="B43" i="19"/>
  <c r="C10" i="4" s="1"/>
  <c r="D10" s="1"/>
  <c r="E14" i="5" s="1"/>
  <c r="C33" i="4"/>
  <c r="C16" i="6" s="1"/>
  <c r="D17" i="5"/>
  <c r="B18" i="2"/>
  <c r="F90" i="3"/>
  <c r="B44" i="2"/>
  <c r="D18"/>
  <c r="D20" s="1"/>
  <c r="E33" i="4"/>
  <c r="E16" i="6" s="1"/>
  <c r="F17" i="5"/>
  <c r="E17"/>
  <c r="D33" i="4"/>
  <c r="D16" i="6" s="1"/>
  <c r="B31" i="2"/>
  <c r="G33" i="4"/>
  <c r="G16" i="6" s="1"/>
  <c r="H17" i="5"/>
  <c r="G17"/>
  <c r="F33" i="4"/>
  <c r="F16" i="6" s="1"/>
  <c r="C74" i="3"/>
  <c r="D74" s="1"/>
  <c r="E74" s="1"/>
  <c r="F74" s="1"/>
  <c r="B74"/>
  <c r="B4" i="9" l="1"/>
  <c r="C53" i="10"/>
  <c r="D4" i="9"/>
  <c r="C6" i="4"/>
  <c r="F18" i="2"/>
  <c r="E4" i="27"/>
  <c r="D4"/>
  <c r="Q39" i="15"/>
  <c r="C3" i="22" s="1"/>
  <c r="E7" i="3"/>
  <c r="C7"/>
  <c r="D7"/>
  <c r="F7"/>
  <c r="C7" i="5"/>
  <c r="I7" s="1"/>
  <c r="F31" i="2"/>
  <c r="B53"/>
  <c r="D33"/>
  <c r="D36" s="1"/>
  <c r="C6" i="6"/>
  <c r="D5" i="27"/>
  <c r="B11" i="3"/>
  <c r="C11" s="1"/>
  <c r="D11" s="1"/>
  <c r="E11" s="1"/>
  <c r="O39" i="15"/>
  <c r="F19" i="2"/>
  <c r="B50"/>
  <c r="D50" s="1"/>
  <c r="B5" i="7"/>
  <c r="C8" i="10"/>
  <c r="C14" i="12" s="1"/>
  <c r="B6" i="14" s="1"/>
  <c r="C15" i="13"/>
  <c r="B20" i="2"/>
  <c r="E22" i="6"/>
  <c r="E13" i="11" s="1"/>
  <c r="D7" i="4"/>
  <c r="D9" i="13" s="1"/>
  <c r="C7"/>
  <c r="D6" i="4"/>
  <c r="D22" i="6"/>
  <c r="D13" i="11" s="1"/>
  <c r="C4" i="9"/>
  <c r="F12" i="23"/>
  <c r="C24" i="8" s="1"/>
  <c r="F16" i="23"/>
  <c r="F20"/>
  <c r="F15"/>
  <c r="F19"/>
  <c r="E7"/>
  <c r="F14"/>
  <c r="F18"/>
  <c r="F13"/>
  <c r="F17"/>
  <c r="F11"/>
  <c r="C7" i="4"/>
  <c r="C9" i="13" s="1"/>
  <c r="C14" i="5"/>
  <c r="D14"/>
  <c r="D30" i="4"/>
  <c r="E10"/>
  <c r="F14" i="5" s="1"/>
  <c r="C30" i="4"/>
  <c r="G48" i="2"/>
  <c r="G47"/>
  <c r="C22" i="6"/>
  <c r="C13" i="11" s="1"/>
  <c r="E16" i="20"/>
  <c r="B89" i="3"/>
  <c r="C8" i="6"/>
  <c r="C90" i="3"/>
  <c r="B8"/>
  <c r="D24"/>
  <c r="C24"/>
  <c r="B24"/>
  <c r="E24"/>
  <c r="F24"/>
  <c r="E87"/>
  <c r="F85"/>
  <c r="B49" i="2"/>
  <c r="D44"/>
  <c r="B6" i="4"/>
  <c r="B7" i="13" s="1"/>
  <c r="B45" i="2"/>
  <c r="E15" i="3"/>
  <c r="D46" i="2"/>
  <c r="E46" s="1"/>
  <c r="I17" i="5"/>
  <c r="F10" i="4"/>
  <c r="G14" i="5" s="1"/>
  <c r="D53" i="2"/>
  <c r="E4" i="9" l="1"/>
  <c r="B90" i="3"/>
  <c r="D6" i="27"/>
  <c r="C6" i="5"/>
  <c r="F20" i="2"/>
  <c r="E6" i="6"/>
  <c r="D89" i="3"/>
  <c r="F6" i="6"/>
  <c r="E89" i="3"/>
  <c r="D28"/>
  <c r="G6" i="6"/>
  <c r="F89" i="3"/>
  <c r="D6" i="6"/>
  <c r="C89" i="3"/>
  <c r="L6" i="22"/>
  <c r="L4"/>
  <c r="L12"/>
  <c r="L17"/>
  <c r="L9"/>
  <c r="L20"/>
  <c r="L23"/>
  <c r="G26" i="13" s="1"/>
  <c r="G25" s="1"/>
  <c r="L15" i="22"/>
  <c r="E26" i="13" s="1"/>
  <c r="L7" i="22"/>
  <c r="C26" i="13" s="1"/>
  <c r="C8" i="22"/>
  <c r="C9" s="1"/>
  <c r="L18"/>
  <c r="L10"/>
  <c r="L16"/>
  <c r="L21"/>
  <c r="L13"/>
  <c r="L5"/>
  <c r="L8"/>
  <c r="L19"/>
  <c r="F26" i="13" s="1"/>
  <c r="L11" i="22"/>
  <c r="D26" i="13" s="1"/>
  <c r="D6" i="8"/>
  <c r="D8" s="1"/>
  <c r="L22" i="22"/>
  <c r="L14"/>
  <c r="D3"/>
  <c r="F3" s="1"/>
  <c r="M4" s="1"/>
  <c r="C9" i="10"/>
  <c r="C10" s="1"/>
  <c r="C25" s="1"/>
  <c r="E16" i="13"/>
  <c r="D16"/>
  <c r="E11" i="5"/>
  <c r="D7" i="13"/>
  <c r="C11" i="5"/>
  <c r="B12" i="10"/>
  <c r="D12" i="5"/>
  <c r="E30" i="4"/>
  <c r="D32" i="3"/>
  <c r="H12" i="23"/>
  <c r="C23" i="8"/>
  <c r="C26"/>
  <c r="C32"/>
  <c r="C30"/>
  <c r="C27"/>
  <c r="H16" i="23"/>
  <c r="C25" i="8"/>
  <c r="H14" i="23"/>
  <c r="C31" i="8"/>
  <c r="H20" i="23"/>
  <c r="E12" i="5"/>
  <c r="H18" i="23"/>
  <c r="C29" i="8"/>
  <c r="E8" i="23"/>
  <c r="B19" i="8"/>
  <c r="J7" i="23"/>
  <c r="C28" i="8"/>
  <c r="E28" s="1"/>
  <c r="G46" i="2"/>
  <c r="D49"/>
  <c r="E49" s="1"/>
  <c r="B51"/>
  <c r="B33"/>
  <c r="D11" i="5"/>
  <c r="F87" i="3"/>
  <c r="F100"/>
  <c r="F31"/>
  <c r="F30"/>
  <c r="F71" s="1"/>
  <c r="D25"/>
  <c r="B28"/>
  <c r="B25"/>
  <c r="B31"/>
  <c r="B32"/>
  <c r="F25"/>
  <c r="C25"/>
  <c r="E25"/>
  <c r="D31"/>
  <c r="D30"/>
  <c r="D71" s="1"/>
  <c r="F22" i="6"/>
  <c r="F13" i="11" s="1"/>
  <c r="E7" i="4"/>
  <c r="E6"/>
  <c r="E31" i="3"/>
  <c r="E30"/>
  <c r="E71" s="1"/>
  <c r="C31"/>
  <c r="C30"/>
  <c r="C32"/>
  <c r="C28"/>
  <c r="F11"/>
  <c r="F28" s="1"/>
  <c r="E28"/>
  <c r="I6" i="5"/>
  <c r="C8"/>
  <c r="B5" i="8" s="1"/>
  <c r="F5" s="1"/>
  <c r="E44" i="2"/>
  <c r="F15" i="3"/>
  <c r="F32" s="1"/>
  <c r="E32"/>
  <c r="D45" i="2"/>
  <c r="E45" s="1"/>
  <c r="G44"/>
  <c r="F30" i="4"/>
  <c r="G10"/>
  <c r="H14" i="5" s="1"/>
  <c r="I14" s="1"/>
  <c r="E53" i="2"/>
  <c r="H53" i="10" l="1"/>
  <c r="B56" i="2"/>
  <c r="E3" i="27"/>
  <c r="E7" s="1"/>
  <c r="D3"/>
  <c r="D7" s="1"/>
  <c r="B12" i="3" s="1"/>
  <c r="M10" i="22"/>
  <c r="M18"/>
  <c r="M15"/>
  <c r="M9"/>
  <c r="M8"/>
  <c r="M6"/>
  <c r="M14"/>
  <c r="N15" s="1"/>
  <c r="M22"/>
  <c r="N23" s="1"/>
  <c r="M11"/>
  <c r="M19"/>
  <c r="M20"/>
  <c r="M13"/>
  <c r="M21"/>
  <c r="M12"/>
  <c r="M5"/>
  <c r="M7"/>
  <c r="M23"/>
  <c r="M17"/>
  <c r="M16"/>
  <c r="C8" i="12"/>
  <c r="D29" i="10"/>
  <c r="B4" i="7"/>
  <c r="F33" i="2"/>
  <c r="B34" s="1"/>
  <c r="F34" s="1"/>
  <c r="N5" i="22"/>
  <c r="F16" i="13"/>
  <c r="G16"/>
  <c r="F12" i="5"/>
  <c r="E9" i="13"/>
  <c r="F11" i="5"/>
  <c r="E7" i="13"/>
  <c r="D27"/>
  <c r="D25" s="1"/>
  <c r="E18" i="12"/>
  <c r="B6" i="10"/>
  <c r="B19" i="13" s="1"/>
  <c r="B22" s="1"/>
  <c r="C19" s="1"/>
  <c r="E26" i="8"/>
  <c r="B20"/>
  <c r="G8" i="23"/>
  <c r="E10"/>
  <c r="B22" i="8" s="1"/>
  <c r="J9" i="23"/>
  <c r="I19" i="8"/>
  <c r="I21" s="1"/>
  <c r="I54" s="1"/>
  <c r="N16" i="20"/>
  <c r="F4" i="9"/>
  <c r="H10" i="12" s="1"/>
  <c r="C54" i="8"/>
  <c r="B9" i="12" s="1"/>
  <c r="H9" s="1"/>
  <c r="E24" i="8"/>
  <c r="G49" i="2"/>
  <c r="E51"/>
  <c r="G22" i="6"/>
  <c r="G13" i="11" s="1"/>
  <c r="F7" i="4"/>
  <c r="G7"/>
  <c r="G9" i="13" s="1"/>
  <c r="F6" i="4"/>
  <c r="G6"/>
  <c r="G7" i="13" s="1"/>
  <c r="D51" i="2"/>
  <c r="C71" i="3"/>
  <c r="B30"/>
  <c r="B71" s="1"/>
  <c r="C21" i="5"/>
  <c r="I8"/>
  <c r="G45" i="2"/>
  <c r="G51" s="1"/>
  <c r="G56" s="1"/>
  <c r="G30" i="4"/>
  <c r="B9" i="7" l="1"/>
  <c r="B10" i="14"/>
  <c r="B29" i="13"/>
  <c r="N13" i="22"/>
  <c r="O15"/>
  <c r="N7"/>
  <c r="N19"/>
  <c r="E12" i="3"/>
  <c r="D12"/>
  <c r="C12"/>
  <c r="F12"/>
  <c r="E21" i="13"/>
  <c r="E22" s="1"/>
  <c r="F19" s="1"/>
  <c r="C21"/>
  <c r="D21"/>
  <c r="G21"/>
  <c r="F21"/>
  <c r="C22"/>
  <c r="D19" s="1"/>
  <c r="D22" s="1"/>
  <c r="O7" i="22"/>
  <c r="O19"/>
  <c r="N17"/>
  <c r="O23"/>
  <c r="N21"/>
  <c r="N9"/>
  <c r="O11"/>
  <c r="N11"/>
  <c r="C7" i="6"/>
  <c r="C12" s="1"/>
  <c r="B29" i="3"/>
  <c r="B36" i="2"/>
  <c r="F36" s="1"/>
  <c r="G12" i="5"/>
  <c r="F9" i="13"/>
  <c r="G11" i="5"/>
  <c r="F7" i="13"/>
  <c r="G18" i="12"/>
  <c r="F27" i="13"/>
  <c r="F25" s="1"/>
  <c r="E27"/>
  <c r="E25" s="1"/>
  <c r="F18" i="12"/>
  <c r="C18"/>
  <c r="B27" i="13"/>
  <c r="B25" s="1"/>
  <c r="C27"/>
  <c r="C25" s="1"/>
  <c r="D18" i="12"/>
  <c r="D30" i="10"/>
  <c r="D6"/>
  <c r="H11" i="5"/>
  <c r="I11" s="1"/>
  <c r="G11" i="23"/>
  <c r="E11"/>
  <c r="G4" i="9"/>
  <c r="H12" i="5"/>
  <c r="I9" i="23"/>
  <c r="G21" i="8" s="1"/>
  <c r="K21" s="1"/>
  <c r="B7" i="10" s="1"/>
  <c r="D20" i="8"/>
  <c r="G9" i="23"/>
  <c r="E54" i="8"/>
  <c r="D56" i="2"/>
  <c r="E56"/>
  <c r="E10" i="3" s="1"/>
  <c r="B11" i="7"/>
  <c r="I21" i="5"/>
  <c r="B10" i="3" l="1"/>
  <c r="B27" s="1"/>
  <c r="C18" i="4" s="1"/>
  <c r="D25" i="12"/>
  <c r="G7" i="6"/>
  <c r="G12" s="1"/>
  <c r="F29" i="3"/>
  <c r="E7" i="6"/>
  <c r="E12" s="1"/>
  <c r="D29" i="3"/>
  <c r="C29" i="13"/>
  <c r="B28"/>
  <c r="B30" s="1"/>
  <c r="F22"/>
  <c r="G19" s="1"/>
  <c r="G22" s="1"/>
  <c r="D7" i="6"/>
  <c r="D12" s="1"/>
  <c r="C29" i="3"/>
  <c r="F7" i="6"/>
  <c r="F12" s="1"/>
  <c r="E29" i="3"/>
  <c r="H18" i="12"/>
  <c r="I12" i="5"/>
  <c r="E91" i="3"/>
  <c r="B16"/>
  <c r="B17" s="1"/>
  <c r="E27"/>
  <c r="F17" i="4" s="1"/>
  <c r="F10" i="3"/>
  <c r="C10"/>
  <c r="C27" s="1"/>
  <c r="D18" i="4" s="1"/>
  <c r="B91" i="3"/>
  <c r="E16"/>
  <c r="E33" s="1"/>
  <c r="B52"/>
  <c r="C52" s="1"/>
  <c r="J7" i="14"/>
  <c r="E25" i="12"/>
  <c r="J8" i="14" s="1"/>
  <c r="F25" i="12"/>
  <c r="J9" i="14" s="1"/>
  <c r="G25" i="12"/>
  <c r="J10" i="14" s="1"/>
  <c r="K9" i="23"/>
  <c r="D21" i="8"/>
  <c r="D23"/>
  <c r="K11" i="23"/>
  <c r="B23" i="8"/>
  <c r="E12" i="23"/>
  <c r="G12"/>
  <c r="I5" i="7"/>
  <c r="I7"/>
  <c r="I6"/>
  <c r="E52" i="3"/>
  <c r="I8" i="7"/>
  <c r="I9"/>
  <c r="D10" i="3" l="1"/>
  <c r="D16" s="1"/>
  <c r="D33" s="1"/>
  <c r="D29" i="13"/>
  <c r="C28"/>
  <c r="C30" s="1"/>
  <c r="C17" i="4"/>
  <c r="C17" i="10" s="1"/>
  <c r="F18" i="4"/>
  <c r="E34" i="3"/>
  <c r="E17"/>
  <c r="E19" s="1"/>
  <c r="E46" s="1"/>
  <c r="B38"/>
  <c r="B18"/>
  <c r="B127" s="1"/>
  <c r="B93"/>
  <c r="F91"/>
  <c r="F16"/>
  <c r="F33" s="1"/>
  <c r="F27"/>
  <c r="D91"/>
  <c r="D27"/>
  <c r="C91"/>
  <c r="C16"/>
  <c r="B69"/>
  <c r="B33"/>
  <c r="B34" s="1"/>
  <c r="B41" s="1"/>
  <c r="B97" s="1"/>
  <c r="B19"/>
  <c r="B128" s="1"/>
  <c r="E13" i="23"/>
  <c r="B24" i="8"/>
  <c r="F24" s="1"/>
  <c r="G13" i="23"/>
  <c r="K12"/>
  <c r="D24" i="8"/>
  <c r="G24" s="1"/>
  <c r="I12" i="23"/>
  <c r="D17" i="3"/>
  <c r="D17" i="4"/>
  <c r="I11" i="7"/>
  <c r="C69" i="3"/>
  <c r="D52"/>
  <c r="F52"/>
  <c r="F69" s="1"/>
  <c r="E69"/>
  <c r="C9" i="11" l="1"/>
  <c r="I6" i="14"/>
  <c r="E29" i="13"/>
  <c r="D28"/>
  <c r="D30" s="1"/>
  <c r="F12" i="4"/>
  <c r="E41" i="3"/>
  <c r="E38"/>
  <c r="B99"/>
  <c r="B106" s="1"/>
  <c r="B5" i="9" s="1"/>
  <c r="E18" i="3"/>
  <c r="E127" s="1"/>
  <c r="E36" i="10" s="1"/>
  <c r="E128" i="3"/>
  <c r="E37" i="10" s="1"/>
  <c r="E93" i="3"/>
  <c r="C12" i="4"/>
  <c r="C32" s="1"/>
  <c r="C15" i="6" s="1"/>
  <c r="C17" s="1"/>
  <c r="C6" i="11" s="1"/>
  <c r="B42" i="3"/>
  <c r="E124"/>
  <c r="B124"/>
  <c r="C20" i="4" s="1"/>
  <c r="E17"/>
  <c r="E18"/>
  <c r="F17" i="3"/>
  <c r="C124"/>
  <c r="D20" i="4" s="1"/>
  <c r="G18"/>
  <c r="F34" i="3"/>
  <c r="F41" s="1"/>
  <c r="G17" i="4"/>
  <c r="D34" i="3"/>
  <c r="D41" s="1"/>
  <c r="F124"/>
  <c r="C33"/>
  <c r="C34" s="1"/>
  <c r="C17"/>
  <c r="D93"/>
  <c r="F3" i="20"/>
  <c r="B36" i="10"/>
  <c r="F4" i="20"/>
  <c r="B37" i="10"/>
  <c r="D18" i="3"/>
  <c r="D38"/>
  <c r="B25" i="8"/>
  <c r="G14" i="23"/>
  <c r="I14" s="1"/>
  <c r="E14"/>
  <c r="D19" i="3"/>
  <c r="D46" s="1"/>
  <c r="D25" i="8"/>
  <c r="K13" i="23"/>
  <c r="B10" i="9"/>
  <c r="D69" i="3"/>
  <c r="F29" i="13" l="1"/>
  <c r="E28"/>
  <c r="E30" s="1"/>
  <c r="D12" i="4"/>
  <c r="D32" s="1"/>
  <c r="D15" i="6" s="1"/>
  <c r="D17" s="1"/>
  <c r="D6" i="11" s="1"/>
  <c r="C41" i="3"/>
  <c r="C97" s="1"/>
  <c r="B43"/>
  <c r="D16" i="5"/>
  <c r="E16"/>
  <c r="B73" i="3"/>
  <c r="B70"/>
  <c r="D97"/>
  <c r="D99" s="1"/>
  <c r="B45"/>
  <c r="B46" s="1"/>
  <c r="F20" i="4"/>
  <c r="G20"/>
  <c r="D124" i="3"/>
  <c r="E20" i="4" s="1"/>
  <c r="C18" i="3"/>
  <c r="C127" s="1"/>
  <c r="C36" i="10" s="1"/>
  <c r="C93" i="3"/>
  <c r="C38"/>
  <c r="C19"/>
  <c r="G12" i="4"/>
  <c r="F97" i="3"/>
  <c r="F18"/>
  <c r="F127" s="1"/>
  <c r="G3" i="20" s="1"/>
  <c r="F38" i="3"/>
  <c r="F93"/>
  <c r="F19"/>
  <c r="E12" i="4"/>
  <c r="B101" i="3"/>
  <c r="D128"/>
  <c r="D37" i="10" s="1"/>
  <c r="D127" i="3"/>
  <c r="D36" i="10" s="1"/>
  <c r="B42"/>
  <c r="B6" i="9"/>
  <c r="D26" i="8"/>
  <c r="G26" s="1"/>
  <c r="K14" i="23"/>
  <c r="E15"/>
  <c r="G15"/>
  <c r="B26" i="8"/>
  <c r="F26" s="1"/>
  <c r="D9" i="11" l="1"/>
  <c r="I7" i="14"/>
  <c r="G29" i="13"/>
  <c r="G28" s="1"/>
  <c r="G30" s="1"/>
  <c r="F28"/>
  <c r="F30" s="1"/>
  <c r="C42" i="3"/>
  <c r="C70" s="1"/>
  <c r="C99"/>
  <c r="C106" s="1"/>
  <c r="C5" i="9" s="1"/>
  <c r="F36" i="10"/>
  <c r="C19" i="6"/>
  <c r="C8" i="11" s="1"/>
  <c r="B75" i="3"/>
  <c r="B77" s="1"/>
  <c r="D42"/>
  <c r="D70" s="1"/>
  <c r="F99"/>
  <c r="F42"/>
  <c r="F70" s="1"/>
  <c r="C43"/>
  <c r="E97"/>
  <c r="E99" s="1"/>
  <c r="E101" s="1"/>
  <c r="E42"/>
  <c r="G16" i="5"/>
  <c r="F16"/>
  <c r="F32" i="4"/>
  <c r="F15" i="6" s="1"/>
  <c r="F17" s="1"/>
  <c r="F6" i="11" s="1"/>
  <c r="E32" i="4"/>
  <c r="E15" i="6" s="1"/>
  <c r="E17" s="1"/>
  <c r="E6" i="11" s="1"/>
  <c r="C46" i="3"/>
  <c r="C128"/>
  <c r="C37" i="10" s="1"/>
  <c r="H16" i="5"/>
  <c r="G32" i="4"/>
  <c r="G15" i="6" s="1"/>
  <c r="G17" s="1"/>
  <c r="G6" i="11" s="1"/>
  <c r="F46" i="3"/>
  <c r="F128"/>
  <c r="D101"/>
  <c r="H26" i="8"/>
  <c r="C10" i="9"/>
  <c r="G16" i="23"/>
  <c r="E16"/>
  <c r="B27" i="8"/>
  <c r="D27"/>
  <c r="K15" i="23"/>
  <c r="C73" i="3" l="1"/>
  <c r="D19" i="6" s="1"/>
  <c r="D8" i="11" s="1"/>
  <c r="C45" i="3"/>
  <c r="F53"/>
  <c r="G18" i="6" s="1"/>
  <c r="G7" i="11" s="1"/>
  <c r="D45" i="3"/>
  <c r="D53"/>
  <c r="E18" i="6" s="1"/>
  <c r="E7" i="11" s="1"/>
  <c r="C53" i="3"/>
  <c r="C58" s="1"/>
  <c r="C60" s="1"/>
  <c r="C130" s="1"/>
  <c r="C39" i="10" s="1"/>
  <c r="E53" i="3"/>
  <c r="B80"/>
  <c r="B132" s="1"/>
  <c r="F8" i="20" s="1"/>
  <c r="B79" i="3"/>
  <c r="B131" s="1"/>
  <c r="B40" i="10" s="1"/>
  <c r="D73" i="3"/>
  <c r="D75" s="1"/>
  <c r="D77" s="1"/>
  <c r="E106"/>
  <c r="E5" i="9" s="1"/>
  <c r="E6" s="1"/>
  <c r="D43" i="3"/>
  <c r="B109"/>
  <c r="B9" i="9" s="1"/>
  <c r="F101" i="3"/>
  <c r="F106"/>
  <c r="F5" i="9" s="1"/>
  <c r="F6" s="1"/>
  <c r="F73" i="3"/>
  <c r="F75" s="1"/>
  <c r="F77" s="1"/>
  <c r="F45"/>
  <c r="F43"/>
  <c r="I16" i="5"/>
  <c r="F37" i="10"/>
  <c r="G4" i="20"/>
  <c r="E43" i="3"/>
  <c r="E45"/>
  <c r="E70"/>
  <c r="E73"/>
  <c r="D106"/>
  <c r="D5" i="9" s="1"/>
  <c r="D6" s="1"/>
  <c r="C101" i="3"/>
  <c r="C42" i="10"/>
  <c r="I16" i="23"/>
  <c r="D28" i="8"/>
  <c r="G28" s="1"/>
  <c r="I8" i="14" s="1"/>
  <c r="K16" i="23"/>
  <c r="E17"/>
  <c r="B28" i="8"/>
  <c r="F28" s="1"/>
  <c r="G17" i="23"/>
  <c r="C6" i="9"/>
  <c r="D11" i="4" l="1"/>
  <c r="D9" s="1"/>
  <c r="D15" s="1"/>
  <c r="D18" i="6"/>
  <c r="D7" i="11" s="1"/>
  <c r="B53" i="3"/>
  <c r="B58" s="1"/>
  <c r="B60" s="1"/>
  <c r="B108" s="1"/>
  <c r="C75"/>
  <c r="C77" s="1"/>
  <c r="C79" s="1"/>
  <c r="B41" i="10"/>
  <c r="F79" i="3"/>
  <c r="F80"/>
  <c r="F132" s="1"/>
  <c r="D80"/>
  <c r="D132" s="1"/>
  <c r="D41" i="10" s="1"/>
  <c r="D79" i="3"/>
  <c r="D10" i="11"/>
  <c r="D12" s="1"/>
  <c r="D14" s="1"/>
  <c r="E19" i="6"/>
  <c r="E8" i="11" s="1"/>
  <c r="D109" i="3"/>
  <c r="D9" i="9" s="1"/>
  <c r="G19" i="6"/>
  <c r="G8" i="11" s="1"/>
  <c r="D21" i="6"/>
  <c r="D23" s="1"/>
  <c r="F58" i="3"/>
  <c r="F60" s="1"/>
  <c r="G11" i="4"/>
  <c r="G9" s="1"/>
  <c r="G15" s="1"/>
  <c r="F7" i="20"/>
  <c r="E11" i="4"/>
  <c r="D58" i="3"/>
  <c r="D60" s="1"/>
  <c r="D108" s="1"/>
  <c r="D8" i="9" s="1"/>
  <c r="G5"/>
  <c r="F11" i="4"/>
  <c r="F18" i="6"/>
  <c r="E58" i="3"/>
  <c r="E60" s="1"/>
  <c r="E62" s="1"/>
  <c r="E129" s="1"/>
  <c r="E38" i="10" s="1"/>
  <c r="E75" i="3"/>
  <c r="E77" s="1"/>
  <c r="F19" i="6"/>
  <c r="F8" i="11" s="1"/>
  <c r="F109" i="3"/>
  <c r="F9" i="9" s="1"/>
  <c r="C18" i="6"/>
  <c r="C21" s="1"/>
  <c r="C23" s="1"/>
  <c r="C62" i="3"/>
  <c r="C129" s="1"/>
  <c r="C38" i="10" s="1"/>
  <c r="C108" i="3"/>
  <c r="C8" i="9" s="1"/>
  <c r="H28" i="8"/>
  <c r="E9" i="11"/>
  <c r="E18" i="23"/>
  <c r="G18"/>
  <c r="I18" s="1"/>
  <c r="B29" i="8"/>
  <c r="D10" i="9"/>
  <c r="G6"/>
  <c r="D29" i="8"/>
  <c r="K17" i="23"/>
  <c r="D10" i="13" l="1"/>
  <c r="F15" i="5"/>
  <c r="F18" s="1"/>
  <c r="B62" i="3"/>
  <c r="B129" s="1"/>
  <c r="B134" s="1"/>
  <c r="F9" i="20" s="1"/>
  <c r="B130" i="3"/>
  <c r="B39" i="10" s="1"/>
  <c r="B43" s="1"/>
  <c r="C11" i="4"/>
  <c r="D31" s="1"/>
  <c r="D34" s="1"/>
  <c r="E22" i="5" s="1"/>
  <c r="E23" s="1"/>
  <c r="D26" i="6" s="1"/>
  <c r="D6" i="7" s="1"/>
  <c r="C80" i="3"/>
  <c r="C132" s="1"/>
  <c r="C109"/>
  <c r="C9" i="9" s="1"/>
  <c r="C11" s="1"/>
  <c r="H7" i="14" s="1"/>
  <c r="E10" i="11"/>
  <c r="E12" s="1"/>
  <c r="E14" s="1"/>
  <c r="E21" i="6"/>
  <c r="E23" s="1"/>
  <c r="E80" i="3"/>
  <c r="E132" s="1"/>
  <c r="E41" i="10" s="1"/>
  <c r="E79" i="3"/>
  <c r="D131"/>
  <c r="D40" i="10" s="1"/>
  <c r="G21" i="6"/>
  <c r="G23" s="1"/>
  <c r="E9" i="4"/>
  <c r="E15" s="1"/>
  <c r="E31"/>
  <c r="E34" s="1"/>
  <c r="F22" i="5" s="1"/>
  <c r="F23" s="1"/>
  <c r="D111" i="3"/>
  <c r="D115" s="1"/>
  <c r="H7" i="7" s="1"/>
  <c r="D130" i="3"/>
  <c r="D39" i="10" s="1"/>
  <c r="D43" s="1"/>
  <c r="D62" i="3"/>
  <c r="D129" s="1"/>
  <c r="D38" i="10" s="1"/>
  <c r="G10" i="13"/>
  <c r="C7" i="11"/>
  <c r="C10" s="1"/>
  <c r="C12" s="1"/>
  <c r="C14" s="1"/>
  <c r="B11" i="4"/>
  <c r="C31" s="1"/>
  <c r="C34" s="1"/>
  <c r="G8" i="20"/>
  <c r="F41" i="10"/>
  <c r="G31" i="4"/>
  <c r="G34" s="1"/>
  <c r="H22" i="5" s="1"/>
  <c r="H23" s="1"/>
  <c r="G26" i="6" s="1"/>
  <c r="F9" i="4"/>
  <c r="H15" i="5"/>
  <c r="C131" i="3"/>
  <c r="C40" i="10" s="1"/>
  <c r="F7" i="11"/>
  <c r="F21" i="6"/>
  <c r="F23" s="1"/>
  <c r="F131" i="3"/>
  <c r="F108"/>
  <c r="F130"/>
  <c r="E130"/>
  <c r="E108"/>
  <c r="E109"/>
  <c r="E9" i="9" s="1"/>
  <c r="G9" s="1"/>
  <c r="G15" i="5"/>
  <c r="G18" s="1"/>
  <c r="F31" i="4"/>
  <c r="F34" s="1"/>
  <c r="G22" i="5" s="1"/>
  <c r="G23" s="1"/>
  <c r="F26" i="6" s="1"/>
  <c r="F17" i="11" s="1"/>
  <c r="F21" i="12" s="1"/>
  <c r="D9" i="14" s="1"/>
  <c r="F62" i="3"/>
  <c r="F129" s="1"/>
  <c r="D16" i="12"/>
  <c r="D42" i="10"/>
  <c r="E16" i="12"/>
  <c r="F5" i="20"/>
  <c r="D14" s="1"/>
  <c r="B38" i="10"/>
  <c r="D11" i="9"/>
  <c r="H8" i="14" s="1"/>
  <c r="G19" i="23"/>
  <c r="E19"/>
  <c r="B30" i="8"/>
  <c r="F30" s="1"/>
  <c r="B111" i="3"/>
  <c r="B113" s="1"/>
  <c r="B8" i="9"/>
  <c r="C16" i="12" s="1"/>
  <c r="D30" i="8"/>
  <c r="G30" s="1"/>
  <c r="I9" i="14" s="1"/>
  <c r="K18" i="23"/>
  <c r="F25" i="5" l="1"/>
  <c r="F6" i="20"/>
  <c r="B133" i="3"/>
  <c r="D17" i="11"/>
  <c r="D21" i="12" s="1"/>
  <c r="D7" i="14" s="1"/>
  <c r="E15" i="5"/>
  <c r="E18" s="1"/>
  <c r="E25" s="1"/>
  <c r="C9" i="4"/>
  <c r="C10" i="13" s="1"/>
  <c r="D44" i="10"/>
  <c r="B44"/>
  <c r="C52"/>
  <c r="B52"/>
  <c r="C51"/>
  <c r="B51"/>
  <c r="C111" i="3"/>
  <c r="C113" s="1"/>
  <c r="C21" i="10"/>
  <c r="C17" i="11" s="1"/>
  <c r="C21" i="12" s="1"/>
  <c r="D6" i="14" s="1"/>
  <c r="B31" i="4"/>
  <c r="B34" s="1"/>
  <c r="C22" i="5" s="1"/>
  <c r="C23" s="1"/>
  <c r="B7" i="8" s="1"/>
  <c r="F7" s="1"/>
  <c r="E26" i="6"/>
  <c r="E17" i="11" s="1"/>
  <c r="E21" i="12" s="1"/>
  <c r="D8" i="14" s="1"/>
  <c r="D133" i="3"/>
  <c r="D116"/>
  <c r="D12" i="9" s="1"/>
  <c r="E19" i="12" s="1"/>
  <c r="E8" i="14" s="1"/>
  <c r="D113" i="3"/>
  <c r="E10" i="13"/>
  <c r="D134" i="3"/>
  <c r="B9" i="4"/>
  <c r="B10" i="13" s="1"/>
  <c r="D22" i="5"/>
  <c r="D23" s="1"/>
  <c r="C26" i="6" s="1"/>
  <c r="D5" i="7" s="1"/>
  <c r="D15" i="5"/>
  <c r="D18" s="1"/>
  <c r="C15"/>
  <c r="C18" s="1"/>
  <c r="E131" i="3"/>
  <c r="E134" s="1"/>
  <c r="F133"/>
  <c r="G6" i="20"/>
  <c r="F39" i="10"/>
  <c r="F43" s="1"/>
  <c r="F40"/>
  <c r="G7" i="20"/>
  <c r="H18" i="5"/>
  <c r="H25" s="1"/>
  <c r="F38" i="10"/>
  <c r="G5" i="20"/>
  <c r="F134" i="3"/>
  <c r="G9" i="20" s="1"/>
  <c r="E39" i="10"/>
  <c r="E43" s="1"/>
  <c r="E133" i="3"/>
  <c r="D8" i="7"/>
  <c r="G25" i="5"/>
  <c r="E8" i="9"/>
  <c r="E111" i="3"/>
  <c r="D9" i="7"/>
  <c r="G17" i="11"/>
  <c r="G21" i="12" s="1"/>
  <c r="D10" i="14" s="1"/>
  <c r="F111" i="3"/>
  <c r="F8" i="9"/>
  <c r="C41" i="10"/>
  <c r="C43" s="1"/>
  <c r="C133" i="3"/>
  <c r="F15" i="4"/>
  <c r="F10" i="13"/>
  <c r="C134" i="3"/>
  <c r="E24" i="4"/>
  <c r="E15" i="12" s="1"/>
  <c r="C8" i="14" s="1"/>
  <c r="B115" i="3"/>
  <c r="B116" s="1"/>
  <c r="B12" i="9" s="1"/>
  <c r="C19" i="12" s="1"/>
  <c r="E6" i="14" s="1"/>
  <c r="E14" i="20"/>
  <c r="E15"/>
  <c r="D15"/>
  <c r="H30" i="8"/>
  <c r="F9" i="11"/>
  <c r="F10" s="1"/>
  <c r="F12" s="1"/>
  <c r="F14" s="1"/>
  <c r="E10" i="9"/>
  <c r="D31" i="8"/>
  <c r="K19" i="23"/>
  <c r="B11" i="9"/>
  <c r="H6" i="14" s="1"/>
  <c r="E20" i="23"/>
  <c r="B32" i="8" s="1"/>
  <c r="G20" i="23"/>
  <c r="B31" i="8"/>
  <c r="D7" i="7" l="1"/>
  <c r="C15" i="4"/>
  <c r="D24" s="1"/>
  <c r="D15" i="12" s="1"/>
  <c r="C7" i="14" s="1"/>
  <c r="C44" i="10"/>
  <c r="G8" i="9"/>
  <c r="C115" i="3"/>
  <c r="H6" i="7" s="1"/>
  <c r="B21" i="10"/>
  <c r="E7" i="7"/>
  <c r="D117" i="3"/>
  <c r="D119" s="1"/>
  <c r="D13" i="9"/>
  <c r="D14" s="1"/>
  <c r="E33" i="13" s="1"/>
  <c r="D25" i="5"/>
  <c r="E40" i="10"/>
  <c r="F16" i="12"/>
  <c r="B15" i="4"/>
  <c r="C24" s="1"/>
  <c r="C15" i="12" s="1"/>
  <c r="C6" i="14" s="1"/>
  <c r="B14" i="10"/>
  <c r="C15" s="1"/>
  <c r="C23" s="1"/>
  <c r="C26" s="1"/>
  <c r="C27" s="1"/>
  <c r="C31" s="1"/>
  <c r="I15" i="5"/>
  <c r="G24" i="4"/>
  <c r="G15" i="12" s="1"/>
  <c r="M14" i="20"/>
  <c r="N15"/>
  <c r="M15"/>
  <c r="N14"/>
  <c r="F24" i="4"/>
  <c r="F15" i="12" s="1"/>
  <c r="C9" i="14" s="1"/>
  <c r="E113" i="3"/>
  <c r="E115"/>
  <c r="F115"/>
  <c r="F113"/>
  <c r="H5" i="7"/>
  <c r="I22" i="5"/>
  <c r="E11" i="9"/>
  <c r="H9" i="14" s="1"/>
  <c r="E42" i="10"/>
  <c r="B13" i="9"/>
  <c r="F32" i="8"/>
  <c r="B54"/>
  <c r="I20" i="23"/>
  <c r="D32" i="8"/>
  <c r="K20" i="23"/>
  <c r="B6" i="8"/>
  <c r="F6" s="1"/>
  <c r="B117" i="3"/>
  <c r="E5" i="7"/>
  <c r="C25" i="5"/>
  <c r="I25" s="1"/>
  <c r="I23"/>
  <c r="B26" i="6"/>
  <c r="I18" i="5"/>
  <c r="C116" i="3" l="1"/>
  <c r="C12" i="9" s="1"/>
  <c r="D19" i="12" s="1"/>
  <c r="E7" i="14" s="1"/>
  <c r="E44" i="10"/>
  <c r="D21"/>
  <c r="C17" i="12"/>
  <c r="C13" s="1"/>
  <c r="E17"/>
  <c r="E13" s="1"/>
  <c r="G8" i="14"/>
  <c r="F7" i="7"/>
  <c r="B22" i="4"/>
  <c r="B25" s="1"/>
  <c r="D19" i="10"/>
  <c r="C13" i="9"/>
  <c r="B15" i="10"/>
  <c r="B23" s="1"/>
  <c r="C117" i="3"/>
  <c r="F6" i="7" s="1"/>
  <c r="E6"/>
  <c r="E116" i="3"/>
  <c r="H8" i="7"/>
  <c r="F116" i="3"/>
  <c r="F117" s="1"/>
  <c r="F9" i="7" s="1"/>
  <c r="H9"/>
  <c r="C32" i="10"/>
  <c r="C7" i="12"/>
  <c r="B24" i="14" s="1"/>
  <c r="C24" s="1"/>
  <c r="F8" i="8"/>
  <c r="G32"/>
  <c r="I10" i="14" s="1"/>
  <c r="I12" s="1"/>
  <c r="D54" i="8"/>
  <c r="B14" i="9"/>
  <c r="C33" i="13" s="1"/>
  <c r="D34" s="1"/>
  <c r="B8" i="8"/>
  <c r="G6" s="1"/>
  <c r="B119" i="3"/>
  <c r="F5" i="7"/>
  <c r="D120" i="3"/>
  <c r="E19" i="4" s="1"/>
  <c r="E22" s="1"/>
  <c r="D123" i="3"/>
  <c r="D125" s="1"/>
  <c r="D4" i="7"/>
  <c r="B27" i="6"/>
  <c r="D15" i="10" l="1"/>
  <c r="D17" i="12"/>
  <c r="D13" s="1"/>
  <c r="G7" i="14"/>
  <c r="G6"/>
  <c r="B20" i="10"/>
  <c r="B24" i="4"/>
  <c r="B15" i="12" s="1"/>
  <c r="H15" s="1"/>
  <c r="C10" i="14" s="1"/>
  <c r="H11" i="7"/>
  <c r="C119" i="3"/>
  <c r="C120" s="1"/>
  <c r="D19" i="4" s="1"/>
  <c r="D22" s="1"/>
  <c r="E25" s="1"/>
  <c r="C14" i="9"/>
  <c r="D33" i="13" s="1"/>
  <c r="E34" s="1"/>
  <c r="F34" s="1"/>
  <c r="F12" i="9"/>
  <c r="G19" i="12" s="1"/>
  <c r="E10" i="14" s="1"/>
  <c r="E9" i="7"/>
  <c r="E12" i="9"/>
  <c r="E8" i="7"/>
  <c r="E117" i="3"/>
  <c r="F8" i="7" s="1"/>
  <c r="B36" i="4"/>
  <c r="B22" i="10" s="1"/>
  <c r="C4" i="7"/>
  <c r="G4" s="1"/>
  <c r="F119" i="3"/>
  <c r="H32" i="8"/>
  <c r="G9" i="11"/>
  <c r="G10" s="1"/>
  <c r="G12" s="1"/>
  <c r="G14" s="1"/>
  <c r="B26" i="10"/>
  <c r="D23"/>
  <c r="E6" i="8"/>
  <c r="E5"/>
  <c r="E8"/>
  <c r="G5"/>
  <c r="G7"/>
  <c r="G8"/>
  <c r="F10" i="9"/>
  <c r="G54" i="8"/>
  <c r="C5"/>
  <c r="C8"/>
  <c r="C7"/>
  <c r="C6"/>
  <c r="B120" i="3"/>
  <c r="C19" i="4" s="1"/>
  <c r="C22" s="1"/>
  <c r="C25" s="1"/>
  <c r="B123" i="3"/>
  <c r="B125" s="1"/>
  <c r="D11" i="7"/>
  <c r="B28" i="6"/>
  <c r="C25"/>
  <c r="C27" s="1"/>
  <c r="C5" i="14" l="1"/>
  <c r="C12" s="1"/>
  <c r="C123" i="3"/>
  <c r="C125" s="1"/>
  <c r="E119"/>
  <c r="E36" i="4"/>
  <c r="C7" i="7"/>
  <c r="G7" s="1"/>
  <c r="C36" i="4"/>
  <c r="C22" i="10" s="1"/>
  <c r="D22" s="1"/>
  <c r="C5" i="7"/>
  <c r="G5" s="1"/>
  <c r="F120" i="3"/>
  <c r="G19" i="4" s="1"/>
  <c r="G22" s="1"/>
  <c r="F123" i="3"/>
  <c r="F125" s="1"/>
  <c r="F11" i="7"/>
  <c r="F19" i="12"/>
  <c r="G12" i="9"/>
  <c r="E13"/>
  <c r="E11" i="7"/>
  <c r="F42" i="10"/>
  <c r="G16" i="12"/>
  <c r="F11" i="9"/>
  <c r="H10" i="14" s="1"/>
  <c r="G10" i="9"/>
  <c r="D25" i="4"/>
  <c r="B30" i="6"/>
  <c r="J4" i="7"/>
  <c r="D25" i="6"/>
  <c r="D27" s="1"/>
  <c r="H51" i="10" l="1"/>
  <c r="G52"/>
  <c r="F44"/>
  <c r="H52"/>
  <c r="G51"/>
  <c r="H19" i="12"/>
  <c r="E9" i="14"/>
  <c r="H12"/>
  <c r="F17" i="12"/>
  <c r="F13" s="1"/>
  <c r="E14" i="9"/>
  <c r="F33" i="13" s="1"/>
  <c r="G34" s="1"/>
  <c r="D36" i="4"/>
  <c r="C6" i="7"/>
  <c r="G6" s="1"/>
  <c r="E120" i="3"/>
  <c r="F19" i="4" s="1"/>
  <c r="F22" s="1"/>
  <c r="F25" s="1"/>
  <c r="E123" i="3"/>
  <c r="E125" s="1"/>
  <c r="H16" i="12"/>
  <c r="F13" i="9"/>
  <c r="G11"/>
  <c r="K4" i="7"/>
  <c r="C28" i="6"/>
  <c r="E25"/>
  <c r="E27" s="1"/>
  <c r="F14" i="9" l="1"/>
  <c r="G33" i="13" s="1"/>
  <c r="G10" i="14"/>
  <c r="E12"/>
  <c r="G9"/>
  <c r="G25" i="4"/>
  <c r="C9" i="7" s="1"/>
  <c r="G9" s="1"/>
  <c r="F36" i="4"/>
  <c r="C8" i="7"/>
  <c r="G13" i="9"/>
  <c r="G17" i="12"/>
  <c r="L4" i="7"/>
  <c r="C30" i="6"/>
  <c r="J5" i="7"/>
  <c r="D28" i="6"/>
  <c r="F25"/>
  <c r="F27" s="1"/>
  <c r="G14" i="9" l="1"/>
  <c r="F12" i="14"/>
  <c r="D14" s="1"/>
  <c r="G36" i="4"/>
  <c r="G8" i="7"/>
  <c r="G11" s="1"/>
  <c r="C11"/>
  <c r="H17" i="12"/>
  <c r="G13"/>
  <c r="K5" i="7"/>
  <c r="M4"/>
  <c r="D30" i="6"/>
  <c r="J6" i="7"/>
  <c r="K6" s="1"/>
  <c r="L6" s="1"/>
  <c r="E28" i="6"/>
  <c r="G25"/>
  <c r="G27" l="1"/>
  <c r="G28" s="1"/>
  <c r="F28"/>
  <c r="E30"/>
  <c r="J7" i="7"/>
  <c r="K7" s="1"/>
  <c r="L7" s="1"/>
  <c r="L5"/>
  <c r="D15" l="1"/>
  <c r="G30" i="6"/>
  <c r="J9" i="7"/>
  <c r="K9" s="1"/>
  <c r="L9" s="1"/>
  <c r="M5"/>
  <c r="F30" i="6"/>
  <c r="J8" i="7"/>
  <c r="K8" s="1"/>
  <c r="L8" s="1"/>
  <c r="M6" l="1"/>
  <c r="M7" s="1"/>
  <c r="M8" s="1"/>
  <c r="L11"/>
  <c r="D13" s="1"/>
  <c r="K11"/>
  <c r="J11"/>
  <c r="M9" l="1"/>
  <c r="D14" s="1"/>
  <c r="H8" i="12" l="1"/>
  <c r="B28" i="14" s="1"/>
  <c r="C28" l="1"/>
  <c r="B14" i="13" l="1"/>
  <c r="B17" s="1"/>
  <c r="C14" s="1"/>
  <c r="D7" i="10"/>
  <c r="B8"/>
  <c r="D8" s="1"/>
  <c r="C16" i="13" l="1"/>
  <c r="C17" s="1"/>
  <c r="D14" s="1"/>
  <c r="D17" s="1"/>
  <c r="E14" s="1"/>
  <c r="E17" s="1"/>
  <c r="F14" s="1"/>
  <c r="F17" s="1"/>
  <c r="G14" s="1"/>
  <c r="G17" s="1"/>
  <c r="B14" i="12"/>
  <c r="B9" i="10"/>
  <c r="B10" s="1"/>
  <c r="H14" i="12" l="1"/>
  <c r="B5" i="14"/>
  <c r="D10" i="10"/>
  <c r="B25"/>
  <c r="B27" s="1"/>
  <c r="B31" s="1"/>
  <c r="D18"/>
  <c r="C20"/>
  <c r="D20" s="1"/>
  <c r="D9"/>
  <c r="B17" i="11"/>
  <c r="H25" i="12"/>
  <c r="J6" i="14"/>
  <c r="D31" i="10" l="1"/>
  <c r="B32"/>
  <c r="D32" s="1"/>
  <c r="B32" i="13"/>
  <c r="B31" s="1"/>
  <c r="B35" s="1"/>
  <c r="B7" i="12"/>
  <c r="B12" i="14"/>
  <c r="B18" i="11"/>
  <c r="B19" s="1"/>
  <c r="B21" i="12"/>
  <c r="J12" i="14"/>
  <c r="D5" l="1"/>
  <c r="H21" i="12"/>
  <c r="B13"/>
  <c r="H13" s="1"/>
  <c r="E32" i="13"/>
  <c r="E31" s="1"/>
  <c r="E35" s="1"/>
  <c r="E31" i="10"/>
  <c r="F32" i="13"/>
  <c r="F31" s="1"/>
  <c r="F35" s="1"/>
  <c r="G32"/>
  <c r="G31" s="1"/>
  <c r="G35" s="1"/>
  <c r="D32"/>
  <c r="D31" s="1"/>
  <c r="D35" s="1"/>
  <c r="C32"/>
  <c r="C31" s="1"/>
  <c r="C35" s="1"/>
  <c r="E30" i="10"/>
  <c r="E29"/>
  <c r="B21" i="11"/>
  <c r="B11" i="12"/>
  <c r="B5" s="1"/>
  <c r="C16" i="11"/>
  <c r="B11" i="13"/>
  <c r="B5" s="1"/>
  <c r="H7" i="12"/>
  <c r="B23" i="14"/>
  <c r="C23" l="1"/>
  <c r="C30" s="1"/>
  <c r="B30"/>
  <c r="K5"/>
  <c r="D12"/>
  <c r="G5"/>
  <c r="G12" s="1"/>
  <c r="B24" i="12"/>
  <c r="B27" s="1"/>
  <c r="B28" s="1"/>
  <c r="C18" i="11"/>
  <c r="C11" i="13" l="1"/>
  <c r="D16" i="11"/>
  <c r="L5" i="14"/>
  <c r="C6" i="12"/>
  <c r="E23" i="14"/>
  <c r="C19" i="11"/>
  <c r="D18" l="1"/>
  <c r="E16" s="1"/>
  <c r="M5" i="14"/>
  <c r="F23"/>
  <c r="C11" i="12"/>
  <c r="C5" s="1"/>
  <c r="C21" i="11"/>
  <c r="D19" l="1"/>
  <c r="E18"/>
  <c r="F16" s="1"/>
  <c r="C24" i="12"/>
  <c r="C27" s="1"/>
  <c r="G23" i="14"/>
  <c r="N5"/>
  <c r="K6"/>
  <c r="D21" i="11" l="1"/>
  <c r="D11" i="12"/>
  <c r="F18" i="11"/>
  <c r="G16" s="1"/>
  <c r="H23" i="14"/>
  <c r="L6"/>
  <c r="E19" i="11"/>
  <c r="C8" i="13"/>
  <c r="C5" s="1"/>
  <c r="C28" i="12"/>
  <c r="E24" i="14" l="1"/>
  <c r="D6" i="12"/>
  <c r="K7" i="14"/>
  <c r="G18" i="11"/>
  <c r="G19" s="1"/>
  <c r="M6" i="14"/>
  <c r="E21" i="11"/>
  <c r="E11" i="12"/>
  <c r="K8" i="14" s="1"/>
  <c r="L8" s="1"/>
  <c r="M8" s="1"/>
  <c r="F19" i="11"/>
  <c r="G21" l="1"/>
  <c r="G11" i="12"/>
  <c r="K10" i="14" s="1"/>
  <c r="L10" s="1"/>
  <c r="M10" s="1"/>
  <c r="N6"/>
  <c r="L7"/>
  <c r="F24"/>
  <c r="F11" i="12"/>
  <c r="F21" i="11"/>
  <c r="D5" i="12"/>
  <c r="D24" l="1"/>
  <c r="D27" s="1"/>
  <c r="E6" s="1"/>
  <c r="M7" i="14"/>
  <c r="N7" s="1"/>
  <c r="K9"/>
  <c r="H11" i="12"/>
  <c r="G24" i="14"/>
  <c r="D15" l="1"/>
  <c r="N8"/>
  <c r="H24"/>
  <c r="D8" i="13"/>
  <c r="D5" s="1"/>
  <c r="D28" i="12"/>
  <c r="L9" i="14"/>
  <c r="K12"/>
  <c r="M9" l="1"/>
  <c r="N9" s="1"/>
  <c r="L12"/>
  <c r="E25"/>
  <c r="F25" l="1"/>
  <c r="E5" i="12"/>
  <c r="N10" i="14"/>
  <c r="N12" s="1"/>
  <c r="D16"/>
  <c r="M12"/>
  <c r="G25" l="1"/>
  <c r="E24" i="12"/>
  <c r="E27" s="1"/>
  <c r="F6" s="1"/>
  <c r="H25" i="14" l="1"/>
  <c r="E28" i="12"/>
  <c r="E8" i="13"/>
  <c r="E5" s="1"/>
  <c r="E26" i="14" l="1"/>
  <c r="F26" l="1"/>
  <c r="F5" i="12"/>
  <c r="G26" i="14" l="1"/>
  <c r="F24" i="12"/>
  <c r="F27" s="1"/>
  <c r="G6" s="1"/>
  <c r="H26" i="14" l="1"/>
  <c r="F8" i="13"/>
  <c r="F5" s="1"/>
  <c r="F28" i="12"/>
  <c r="E27" i="14" l="1"/>
  <c r="G5" i="12"/>
  <c r="F27" i="14" l="1"/>
  <c r="G24" i="12"/>
  <c r="G27" s="1"/>
  <c r="H5"/>
  <c r="H24" s="1"/>
  <c r="H27" s="1"/>
  <c r="G27" i="14" l="1"/>
  <c r="G8" i="13"/>
  <c r="G5" s="1"/>
  <c r="G28" i="12"/>
  <c r="E28" i="14" l="1"/>
  <c r="H28" i="12"/>
  <c r="H27" i="14"/>
  <c r="D34"/>
  <c r="F28" l="1"/>
  <c r="E30"/>
  <c r="G28" l="1"/>
  <c r="F30"/>
  <c r="D35" l="1"/>
  <c r="G30"/>
  <c r="D33" s="1"/>
  <c r="H28"/>
  <c r="G21" i="23"/>
  <c r="K21"/>
  <c r="H21"/>
  <c r="J21"/>
  <c r="F21"/>
  <c r="I21"/>
</calcChain>
</file>

<file path=xl/comments1.xml><?xml version="1.0" encoding="utf-8"?>
<comments xmlns="http://schemas.openxmlformats.org/spreadsheetml/2006/main">
  <authors>
    <author>Elias</author>
  </authors>
  <commentList>
    <comment ref="C3" authorId="0">
      <text>
        <r>
          <rPr>
            <b/>
            <sz val="9"/>
            <color indexed="81"/>
            <rFont val="Tahoma"/>
            <charset val="1"/>
          </rPr>
          <t xml:space="preserve">2320 horas anuales laborales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0" authorId="0">
      <text>
        <r>
          <rPr>
            <sz val="9"/>
            <color indexed="81"/>
            <rFont val="Tahoma"/>
            <charset val="1"/>
          </rPr>
          <t xml:space="preserve">
le asginamos el 100% porque es el que mas consume</t>
        </r>
      </text>
    </comment>
  </commentList>
</comments>
</file>

<file path=xl/comments2.xml><?xml version="1.0" encoding="utf-8"?>
<comments xmlns="http://schemas.openxmlformats.org/spreadsheetml/2006/main">
  <authors>
    <author>Elias</author>
  </authors>
  <commentList>
    <comment ref="K21" authorId="0">
      <text>
        <r>
          <rPr>
            <sz val="9"/>
            <color indexed="81"/>
            <rFont val="Tahoma"/>
            <charset val="1"/>
          </rPr>
          <t xml:space="preserve">Los intereses bancarios y gastos preoperativos se pagan en el año 1
</t>
        </r>
      </text>
    </comment>
  </commentList>
</comments>
</file>

<file path=xl/sharedStrings.xml><?xml version="1.0" encoding="utf-8"?>
<sst xmlns="http://schemas.openxmlformats.org/spreadsheetml/2006/main" count="1046" uniqueCount="607">
  <si>
    <t>ESTA PLANILLA PUEDE SER UTILIZADA SOLAMENTE PARA EL TRABAJO PRACTICO:</t>
  </si>
  <si>
    <t>Tasa porcentual de IVA</t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</si>
  <si>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</si>
  <si>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</si>
  <si>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</si>
  <si>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</si>
  <si>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</si>
  <si>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t xml:space="preserve">    edificios y obras complementarias</t>
  </si>
  <si>
    <t>años</t>
  </si>
  <si>
    <t xml:space="preserve">    instalaciones industriales</t>
  </si>
  <si>
    <t xml:space="preserve">    máquinas, equipos y accesorios</t>
  </si>
  <si>
    <t xml:space="preserve">    rodados y equipos auxiliares</t>
  </si>
  <si>
    <t xml:space="preserve">    muebles y útiles</t>
  </si>
  <si>
    <t xml:space="preserve">    repuestos iniciales</t>
  </si>
  <si>
    <t>Otros Activos y Cargos Diferidos</t>
  </si>
  <si>
    <t>Imprevistos</t>
  </si>
  <si>
    <t>Nombre del Producto</t>
  </si>
  <si>
    <t>MATAFUEGOS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</si>
  <si>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</si>
  <si>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</si>
  <si>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</si>
  <si>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</si>
  <si>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</si>
  <si>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</si>
  <si>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</si>
  <si>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</si>
  <si>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</si>
  <si>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</si>
  <si>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</si>
  <si>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</si>
  <si>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</si>
  <si>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</si>
  <si>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</si>
  <si>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</si>
  <si>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</si>
  <si>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</si>
  <si>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</si>
  <si>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</si>
  <si>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</si>
  <si>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</si>
  <si>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</si>
  <si>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</si>
  <si>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</si>
  <si>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Redondos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</si>
  <si>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</si>
  <si>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</si>
  <si>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</si>
  <si>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</si>
  <si>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</si>
  <si>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</si>
  <si>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</si>
  <si>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</si>
  <si>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</si>
  <si>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</si>
  <si>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</si>
  <si>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</si>
  <si>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</si>
  <si>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</si>
  <si>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 xml:space="preserve">Transporte y montaje de la maquinaria 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</si>
  <si>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</si>
  <si>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</si>
  <si>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</si>
  <si>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</si>
  <si>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</si>
  <si>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</si>
  <si>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</si>
  <si>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</si>
  <si>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</si>
  <si>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</si>
  <si>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</si>
  <si>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</si>
  <si>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</si>
  <si>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</si>
  <si>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</si>
  <si>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</si>
  <si>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</si>
  <si>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</si>
  <si>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</si>
  <si>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</si>
  <si>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</si>
  <si>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</si>
  <si>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</si>
  <si>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</si>
  <si>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</si>
  <si>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</si>
  <si>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</si>
  <si>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</si>
  <si>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</si>
  <si>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</si>
  <si>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</si>
  <si>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</si>
  <si>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</si>
  <si>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</si>
  <si>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</si>
  <si>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</si>
  <si>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</si>
  <si>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</si>
  <si>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</si>
  <si>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</si>
  <si>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</si>
  <si>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</si>
  <si>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</si>
  <si>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</si>
  <si>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</si>
  <si>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</si>
  <si>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</si>
  <si>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</si>
  <si>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</si>
  <si>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</si>
  <si>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</si>
  <si>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</si>
  <si>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</si>
  <si>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</si>
  <si>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</si>
  <si>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</si>
  <si>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</si>
  <si>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</si>
  <si>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</si>
  <si>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</si>
  <si>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</si>
  <si>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</si>
  <si>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</si>
  <si>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</si>
  <si>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</si>
  <si>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</si>
  <si>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</si>
  <si>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</si>
  <si>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</si>
  <si>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</si>
  <si>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</si>
  <si>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</si>
  <si>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</si>
  <si>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</si>
  <si>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</si>
  <si>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</si>
  <si>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</si>
  <si>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</si>
  <si>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</si>
  <si>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</si>
  <si>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</si>
  <si>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</si>
  <si>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</si>
  <si>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</si>
  <si>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</si>
  <si>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</si>
  <si>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</si>
  <si>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</si>
  <si>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</si>
  <si>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</si>
  <si>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</si>
  <si>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</si>
  <si>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</si>
  <si>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</si>
  <si>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</si>
  <si>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</si>
  <si>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</si>
  <si>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</si>
  <si>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</si>
  <si>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</si>
  <si>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</si>
  <si>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</si>
  <si>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</si>
  <si>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</si>
  <si>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</si>
  <si>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</si>
  <si>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</si>
  <si>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</si>
  <si>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</si>
  <si>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</si>
  <si>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</si>
  <si>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</si>
  <si>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</si>
  <si>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</si>
  <si>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</si>
  <si>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</si>
  <si>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</si>
  <si>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</si>
  <si>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</si>
  <si>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</si>
  <si>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</si>
  <si>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</si>
  <si>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</si>
  <si>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</si>
  <si>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</si>
  <si>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</si>
  <si>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</si>
  <si>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</si>
  <si>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</si>
  <si>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</si>
  <si>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</si>
  <si>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</si>
  <si>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</si>
  <si>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</si>
  <si>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</si>
  <si>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</si>
  <si>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</si>
  <si>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</si>
  <si>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</si>
  <si>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</si>
  <si>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</si>
  <si>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</si>
  <si>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</si>
  <si>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</si>
  <si>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</si>
  <si>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</si>
  <si>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</si>
  <si>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</si>
  <si>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</si>
  <si>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</si>
  <si>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</si>
  <si>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</si>
  <si>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</si>
  <si>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</si>
  <si>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</si>
  <si>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</si>
  <si>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</si>
  <si>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</si>
  <si>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</si>
  <si>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</si>
  <si>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</si>
  <si>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</si>
  <si>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</si>
  <si>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</si>
  <si>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</si>
  <si>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</si>
  <si>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</si>
  <si>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</si>
  <si>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</si>
  <si>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</si>
  <si>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</si>
  <si>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</si>
  <si>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</si>
  <si>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</si>
  <si>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</si>
  <si>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</si>
  <si>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</si>
  <si>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</si>
  <si>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</si>
  <si>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</si>
  <si>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</si>
  <si>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</si>
  <si>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</si>
  <si>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</si>
  <si>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</si>
  <si>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</si>
  <si>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</si>
  <si>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</si>
  <si>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</si>
  <si>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PRIMERA ESTRUCTURA FINANCIERA</t>
  </si>
  <si>
    <t>Total Inversión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</si>
  <si>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</si>
  <si>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</si>
  <si>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</si>
  <si>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</si>
  <si>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</si>
  <si>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</si>
  <si>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</si>
  <si>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</si>
  <si>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</si>
  <si>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</si>
  <si>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</si>
  <si>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</si>
  <si>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</si>
  <si>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</si>
  <si>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</si>
  <si>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</si>
  <si>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</si>
  <si>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</si>
  <si>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</si>
  <si>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</si>
  <si>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</si>
  <si>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</si>
  <si>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</si>
  <si>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</si>
  <si>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</si>
  <si>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</si>
  <si>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</si>
  <si>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</si>
  <si>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</si>
  <si>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</si>
  <si>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</si>
  <si>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</si>
  <si>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</si>
  <si>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</si>
  <si>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</si>
  <si>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</si>
  <si>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</si>
  <si>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</si>
  <si>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</si>
  <si>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</si>
  <si>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</si>
  <si>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</si>
  <si>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</si>
  <si>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</si>
  <si>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</si>
  <si>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</si>
  <si>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</si>
  <si>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</si>
  <si>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</si>
  <si>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</si>
  <si>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</si>
  <si>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</si>
  <si>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</si>
  <si>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</si>
  <si>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</si>
  <si>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</si>
  <si>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</si>
  <si>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</si>
  <si>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</si>
  <si>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</si>
  <si>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</si>
  <si>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</si>
  <si>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</si>
  <si>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</si>
  <si>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</si>
  <si>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</si>
  <si>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</si>
  <si>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</si>
  <si>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</si>
  <si>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</si>
  <si>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</si>
  <si>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</si>
  <si>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</si>
  <si>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</si>
  <si>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</si>
  <si>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</si>
  <si>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</si>
  <si>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</si>
  <si>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</si>
  <si>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</si>
  <si>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</si>
  <si>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</si>
  <si>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</si>
  <si>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</si>
  <si>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</si>
  <si>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</si>
  <si>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</si>
  <si>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</si>
  <si>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</si>
  <si>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</si>
  <si>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</si>
  <si>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</si>
  <si>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</si>
  <si>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</si>
  <si>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</si>
  <si>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</si>
  <si>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</si>
  <si>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</si>
  <si>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</si>
  <si>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</si>
  <si>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</si>
  <si>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</si>
  <si>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</si>
  <si>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</si>
  <si>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</si>
  <si>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</si>
  <si>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</si>
  <si>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</si>
  <si>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</si>
  <si>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</si>
  <si>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</si>
  <si>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</si>
  <si>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</si>
  <si>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</si>
  <si>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</si>
  <si>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</si>
  <si>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</si>
  <si>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</si>
  <si>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</si>
  <si>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</si>
  <si>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</si>
  <si>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</si>
  <si>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</si>
  <si>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</si>
  <si>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</si>
  <si>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</si>
  <si>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</si>
  <si>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</si>
  <si>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</si>
  <si>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para el inversor</t>
  </si>
  <si>
    <t>en años para el inversor</t>
  </si>
  <si>
    <t>TOR</t>
  </si>
  <si>
    <t>Consumo de materia prima</t>
  </si>
  <si>
    <t>Meses</t>
  </si>
  <si>
    <t>Para fabricar 1 extinor</t>
  </si>
  <si>
    <t>4-11,5</t>
  </si>
  <si>
    <t>Total PM</t>
  </si>
  <si>
    <t>$</t>
  </si>
  <si>
    <t>Láminas de acero de 1,5x3m para cuerpo:</t>
  </si>
  <si>
    <t>láminas</t>
  </si>
  <si>
    <t>Polvo químico ABC:</t>
  </si>
  <si>
    <t>kg</t>
  </si>
  <si>
    <t>Nitrógeno:</t>
  </si>
  <si>
    <t>gr</t>
  </si>
  <si>
    <t>Válvula:</t>
  </si>
  <si>
    <t>Manija:</t>
  </si>
  <si>
    <t>Manómetro:</t>
  </si>
  <si>
    <t>Sunchos:</t>
  </si>
  <si>
    <t>Cuello roscado:</t>
  </si>
  <si>
    <t>Manguera:</t>
  </si>
  <si>
    <t>O'ring (caucho):</t>
  </si>
  <si>
    <t>Pintura:</t>
  </si>
  <si>
    <t>litros</t>
  </si>
  <si>
    <t>Sellador:</t>
  </si>
  <si>
    <t xml:space="preserve"> Alambre (para el seguro):</t>
  </si>
  <si>
    <t>Años 2 a 10</t>
  </si>
  <si>
    <t>Périodo Inst</t>
  </si>
  <si>
    <t>Años 2-10</t>
  </si>
  <si>
    <t>Ventas</t>
  </si>
  <si>
    <t>Stock promedio de elaborado</t>
  </si>
  <si>
    <t>Producción</t>
  </si>
  <si>
    <t>Desperdicio no recuperables</t>
  </si>
  <si>
    <t>Acero (m2)</t>
  </si>
  <si>
    <t>Polvo (kg)</t>
  </si>
  <si>
    <t>Nitrógeno (g)</t>
  </si>
  <si>
    <t>En curso y semielaborados</t>
  </si>
  <si>
    <t>Láminas (u)</t>
  </si>
  <si>
    <t>Consumo MP</t>
  </si>
  <si>
    <t>Stock de MP</t>
  </si>
  <si>
    <t>Compra</t>
  </si>
  <si>
    <t>Stock de láminas de acero</t>
  </si>
  <si>
    <t>Stock de polvo químico</t>
  </si>
  <si>
    <t>Stock de nitrógeno</t>
  </si>
  <si>
    <t>Al fin del mes</t>
  </si>
  <si>
    <t>Stock</t>
  </si>
  <si>
    <t>Compras</t>
  </si>
  <si>
    <t>Dic. Año 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</si>
  <si>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</si>
  <si>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</si>
  <si>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</si>
  <si>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</si>
  <si>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</si>
  <si>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</si>
  <si>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</si>
  <si>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</si>
  <si>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</si>
  <si>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</si>
  <si>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</si>
  <si>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</si>
  <si>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Promedio:</t>
  </si>
  <si>
    <t>Stock de válvulas, manijas, manómetros, sunchos, cuellos roscados, mangueras y o'rings</t>
  </si>
  <si>
    <t>Stock de pintura</t>
  </si>
  <si>
    <t>Años 1/5</t>
  </si>
  <si>
    <t>Gerente general</t>
  </si>
  <si>
    <t>Gerente de administración</t>
  </si>
  <si>
    <t>Administradores</t>
  </si>
  <si>
    <t>Jefe de planta</t>
  </si>
  <si>
    <t>Ritmo de trabajo</t>
  </si>
  <si>
    <t>Operarios (3)</t>
  </si>
  <si>
    <t>Gerente de producción</t>
  </si>
  <si>
    <t>Se trabaja con:</t>
  </si>
  <si>
    <t>Gerente de ventas</t>
  </si>
  <si>
    <t>turno</t>
  </si>
  <si>
    <t>días/año</t>
  </si>
  <si>
    <t>hs/turno</t>
  </si>
  <si>
    <t>días de vacaciones</t>
  </si>
  <si>
    <t>Total MOD</t>
  </si>
  <si>
    <t>días/semana</t>
  </si>
  <si>
    <t>feriados obligatorios</t>
  </si>
  <si>
    <t>Total MOI</t>
  </si>
  <si>
    <t>domingos</t>
  </si>
  <si>
    <t>Salarios Producción</t>
  </si>
  <si>
    <t>Horas/año trabajadas:</t>
  </si>
  <si>
    <t>hs/año</t>
  </si>
  <si>
    <t>$/hs operario</t>
  </si>
  <si>
    <t>Gasto anual año 2 a 5</t>
  </si>
  <si>
    <t>e) Recupero de Credito Fiscal</t>
  </si>
  <si>
    <t>Punto de equilibrio</t>
  </si>
  <si>
    <t>Costo constante</t>
  </si>
  <si>
    <t>Costo total</t>
  </si>
  <si>
    <t>Ingresos</t>
  </si>
  <si>
    <t xml:space="preserve">Máquina para Redondeos </t>
  </si>
  <si>
    <t>Agujereadora de banco</t>
  </si>
  <si>
    <t>Máquina de prueba hidráulica</t>
  </si>
  <si>
    <t>Granalladora</t>
  </si>
  <si>
    <t>Balancín</t>
  </si>
  <si>
    <t xml:space="preserve">Sierra sin fin automática </t>
  </si>
  <si>
    <t xml:space="preserve">Compresor </t>
  </si>
  <si>
    <t>Cizalladora</t>
  </si>
  <si>
    <t xml:space="preserve">Torno </t>
  </si>
  <si>
    <t>Soldadoras A</t>
  </si>
  <si>
    <t>Soldadoras B</t>
  </si>
  <si>
    <t>Cilindradora</t>
  </si>
  <si>
    <t>Trasvasadora de polvo</t>
  </si>
  <si>
    <t>Amoladora</t>
  </si>
  <si>
    <t>Prensa 250t</t>
  </si>
  <si>
    <t>Bombito ojalatero</t>
  </si>
  <si>
    <t xml:space="preserve">Horno </t>
  </si>
  <si>
    <t>Cabina pintura</t>
  </si>
  <si>
    <t>Cantidad</t>
  </si>
  <si>
    <t>Costo unitario</t>
  </si>
  <si>
    <t>http://articulo.mercadolibre.com.ar/MLA-605409132-taladro-perforador-de-pie-16mm-12-hp-lusqtoff-rex-_JM</t>
  </si>
  <si>
    <t>http://articulo.mercadolibre.com.ar/MLA-603488636-prueba-hidraulica-para-matafuegos-y-cilindros-melisam-_JM</t>
  </si>
  <si>
    <t>http://articulo.mercadolibre.com.ar/MLA-631415033-arenadora-granalladora-cabina-doble-_JM</t>
  </si>
  <si>
    <t>http://articulo.mercadolibre.com.ar/MLA-631365256-balancin-con-retardo-60-toneladas-_JM</t>
  </si>
  <si>
    <t>http://articulo.mercadolibre.com.ar/MLA-633309405-sierra-a-sin-fin-pmetal-maroni-cavance-automatico-_JM</t>
  </si>
  <si>
    <t>http://articulo.mercadolibre.com.ar/MLA-609840826-compresor-de-aire-100-lts-4-hp-bicilindrico-lusqtoff-monofa-_JM</t>
  </si>
  <si>
    <t>http://articulo.mercadolibre.com.ar/MLA-630564783-guillotina-cizalla-chapa-trapezoidal-y-acanalada-excelente-_JM#D[S:ADV,L:VQCATCORE_LST,V:1]</t>
  </si>
  <si>
    <t>http://articulo.mercadolibre.com.ar/MLA-627806499-torno-mecanico-paralelo-para-metales-500mm-motor-34hp-nuevo-_JM</t>
  </si>
  <si>
    <t>https://spanish.alibaba.com/g/sink-longitudinal-seam-welding-machine-price.html</t>
  </si>
  <si>
    <t>http://articulo.mercadolibre.com.ar/MLA-613311461-soldadora-inverter-tig-dual-dc-mma-lusqtoff-_JM</t>
  </si>
  <si>
    <t>http://articulo.mercadolibre.com.ar/MLA-616271365-cilindradora-motorizada-marca-wisdom-er-2030-_JM</t>
  </si>
  <si>
    <t>http://articulo.mercadolibre.com.ar/MLA-603488771-trasvasador-de-polvo-quimico-melisam-para-matafuegos-_JM</t>
  </si>
  <si>
    <t>http://articulo.mercadolibre.com.ar/MLA-618310311-amoladora-black-and-decker-modelo-g720n-820-watts-87-685-_JM</t>
  </si>
  <si>
    <t>http://articulo.mercadolibre.com.ar/MLA-630258231-prensa-hidraulica-250-toneladas-_JM</t>
  </si>
  <si>
    <t>http://articulo.mercadolibre.com.ar/MLA-634646603-bombito-hojalatero-_JM</t>
  </si>
  <si>
    <t>http://articulo.mercadolibre.com.ar/MLA-633821809-permuto-vendo-horno-secado-madera-pintura-polvo-y-maquinas-_JM</t>
  </si>
  <si>
    <t>http://articulo.mercadolibre.com.ar/MLA-633301579-cabina-de-pintura-lagos-espanola-16mts-x-5mts-x-5mts-_JM</t>
  </si>
  <si>
    <t>Rodados</t>
  </si>
  <si>
    <t>Traffic</t>
  </si>
  <si>
    <t>Silla Ergonómica</t>
  </si>
  <si>
    <t>Escritorios</t>
  </si>
  <si>
    <t>Dispenser de agua</t>
  </si>
  <si>
    <t>http://articulo.mercadolibre.com.ar/MLA-616705132-escritorios-mesa-de-pc-escritorio-diseno-oficina-notebooks-_JM#D[S:ADV,L:VQCATCORE_LST,V:1]</t>
  </si>
  <si>
    <t>http://articulo.mercadolibre.com.ar/MLA-627618606-dispenser-de-agua-frio-calor-para-bidon-_JM</t>
  </si>
  <si>
    <t>Computadora</t>
  </si>
  <si>
    <t>Aire acondicionado</t>
  </si>
  <si>
    <t>http://articulo.mercadolibre.com.ar/MLA-616096275-pc-computadora-escritorio-oficina-intel-modelo-bt-superior-_JM</t>
  </si>
  <si>
    <t>Cafetera nespresso</t>
  </si>
  <si>
    <t>Sillón</t>
  </si>
  <si>
    <t>Salario Anual</t>
  </si>
  <si>
    <t>Salario Mensual</t>
  </si>
  <si>
    <t>Planilla De Salarios:</t>
  </si>
  <si>
    <t>Edificio</t>
  </si>
  <si>
    <t>Créditos</t>
  </si>
  <si>
    <t>D anual</t>
  </si>
  <si>
    <t>D semanal</t>
  </si>
  <si>
    <t>Stock prom.</t>
  </si>
  <si>
    <t>Costo stock promedio</t>
  </si>
  <si>
    <t>Costo total MP</t>
  </si>
  <si>
    <t>Deuda</t>
  </si>
  <si>
    <t>Interes trimestral</t>
  </si>
  <si>
    <t>Interés anual</t>
  </si>
  <si>
    <t>Día</t>
  </si>
  <si>
    <t>Mes</t>
  </si>
  <si>
    <t>Monto de compra</t>
  </si>
  <si>
    <t>Crédito</t>
  </si>
  <si>
    <t>Cancelación</t>
  </si>
  <si>
    <t>Costo mensual</t>
  </si>
  <si>
    <t>Intereses</t>
  </si>
  <si>
    <t>Monto</t>
  </si>
  <si>
    <t>% financiado</t>
  </si>
  <si>
    <t>Gasto bancario</t>
  </si>
  <si>
    <t>Amortización</t>
  </si>
  <si>
    <t>Amortización semestral</t>
  </si>
  <si>
    <t>Interés semestral</t>
  </si>
  <si>
    <t>Cuota</t>
  </si>
  <si>
    <t>Gastos preoperativos:</t>
  </si>
  <si>
    <t>Interes anual</t>
  </si>
  <si>
    <t>31/12/-1</t>
  </si>
  <si>
    <t>1/6/-1</t>
  </si>
  <si>
    <t>incremento cargos diferidos</t>
  </si>
  <si>
    <t>GASTOS MO</t>
  </si>
  <si>
    <t>Cargas sociales</t>
  </si>
  <si>
    <t>gs adm (según gs energia)</t>
  </si>
  <si>
    <t>gs mod año 1</t>
  </si>
  <si>
    <t>gs amort</t>
  </si>
  <si>
    <t>gs Personal indirecto</t>
  </si>
  <si>
    <t>gs combustible</t>
  </si>
  <si>
    <t>gs energía electrica</t>
  </si>
  <si>
    <t>VARIABLES</t>
  </si>
  <si>
    <t>DATOS</t>
  </si>
  <si>
    <t>imprevistos de bu</t>
  </si>
  <si>
    <t>inversión min caja y bancos año 0</t>
  </si>
  <si>
    <t>inversión min caja y bancos año 1-n</t>
  </si>
  <si>
    <t>Inversión stock de materiales</t>
  </si>
  <si>
    <t>superficie terreno (30x25)m2</t>
  </si>
  <si>
    <t>http://articulo.mercadolibre.com.ar/MLA-615394997-sillon-divan-individual-_JM</t>
  </si>
  <si>
    <t>http://articulo.mercadolibre.com.ar/MLA-619610725-cafetera-nespresso-inissia-white-single-33-off-_JM</t>
  </si>
  <si>
    <t>http://articulo.mercadolibre.com.ar/MLA-633456328-aire-acondicionado-mihura-split-2600w-frio-a-r410-mhsh26wfn-_JM</t>
  </si>
  <si>
    <t>http://articulo.mercadolibre.com.ar/MLA-620971739-sillon-ejecutivo-silla-de-oficina-pc-escritorio-regulable-_JM</t>
  </si>
  <si>
    <t>http://auto.mercadolibre.com.ar/MLA-639072741-peugeot-boxer-0km-2016-confort-retira-ya-unica--_JM</t>
  </si>
  <si>
    <t>Año 2 a N</t>
  </si>
  <si>
    <t>Mantenimiento</t>
  </si>
  <si>
    <t>TOTALES</t>
  </si>
  <si>
    <t>TOTAL</t>
  </si>
  <si>
    <t>Potencia instalada</t>
  </si>
  <si>
    <t>[Kw]</t>
  </si>
  <si>
    <t>Consumo anual en estado de régimen</t>
  </si>
  <si>
    <t>[Kwh]</t>
  </si>
  <si>
    <t>Consumo en vacaciones por mantenimiento</t>
  </si>
  <si>
    <t>CONSUMOS ENERGÍA [KW]</t>
  </si>
  <si>
    <t>La empresa de servicio eléctrico cobra</t>
  </si>
  <si>
    <t>$/KW instalado</t>
  </si>
  <si>
    <t>Tarifa 2 - Mediana demanda</t>
  </si>
  <si>
    <t>$/KW consumido</t>
  </si>
  <si>
    <t xml:space="preserve">Área </t>
  </si>
  <si>
    <t>Consumo</t>
  </si>
  <si>
    <t>Unidad</t>
  </si>
  <si>
    <t>Consumo Producción</t>
  </si>
  <si>
    <t>Consumo en Vacaciones</t>
  </si>
  <si>
    <t>Consumo mensual producción</t>
  </si>
  <si>
    <t>Potencia Instalada</t>
  </si>
  <si>
    <t>Consumo Mensual por KW instalado</t>
  </si>
  <si>
    <t>[Kwh/Kw]</t>
  </si>
  <si>
    <t>Costo del KW instalado</t>
  </si>
  <si>
    <t>[$/Kw instalado]</t>
  </si>
  <si>
    <t>Año 2 al 5</t>
  </si>
  <si>
    <t>Costo del KWh/KW</t>
  </si>
  <si>
    <t>[$/Kw consumido]</t>
  </si>
  <si>
    <t>Gasto mensual</t>
  </si>
  <si>
    <t>Fijo</t>
  </si>
  <si>
    <t>Variable</t>
  </si>
  <si>
    <t>Gasto en vacaciones</t>
  </si>
  <si>
    <t>Gasto anual</t>
  </si>
  <si>
    <t>respecto año 2 a N</t>
  </si>
  <si>
    <t>Int Bancarios y Preoperativos</t>
  </si>
</sst>
</file>

<file path=xl/styles.xml><?xml version="1.0" encoding="utf-8"?>
<styleSheet xmlns="http://schemas.openxmlformats.org/spreadsheetml/2006/main">
  <numFmts count="15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(\$* #,##0.00_);_(\$* \(#,##0.00\);_(\$* \-??_);_(@_)"/>
    <numFmt numFmtId="165" formatCode="0.0"/>
    <numFmt numFmtId="166" formatCode="0.000"/>
    <numFmt numFmtId="167" formatCode="_(* #,##0.00_);_(* \(#,##0.00\);_(* \-??_);_(@_)"/>
    <numFmt numFmtId="168" formatCode="d&quot; de &quot;mmm&quot; de &quot;yy"/>
    <numFmt numFmtId="169" formatCode="&quot;$&quot;\ #,##0"/>
    <numFmt numFmtId="170" formatCode="_-[$$-2C0A]* #,##0.00_-;\-[$$-2C0A]* #,##0.00_-;_-[$$-2C0A]* &quot;-&quot;??_-;_-@_-"/>
    <numFmt numFmtId="171" formatCode="[$$-2C0A]#,##0"/>
    <numFmt numFmtId="172" formatCode="#,##0.00\ _€"/>
    <numFmt numFmtId="173" formatCode="[$$-2C0A]\ #,##0.00;[$$-2C0A]\ \-#,##0.00"/>
    <numFmt numFmtId="174" formatCode="[$$-2C0A]\ #,##0"/>
    <numFmt numFmtId="175" formatCode="0.0%"/>
    <numFmt numFmtId="176" formatCode="&quot;$&quot;\ #,##0.00"/>
  </numFmts>
  <fonts count="19"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b/>
      <sz val="11"/>
      <name val="Calibri"/>
      <family val="2"/>
    </font>
    <font>
      <b/>
      <sz val="10.5"/>
      <color rgb="FF00000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10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double">
        <color indexed="63"/>
      </left>
      <right style="thin">
        <color indexed="63"/>
      </right>
      <top style="double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hair">
        <color indexed="63"/>
      </bottom>
      <diagonal/>
    </border>
    <border>
      <left style="thin">
        <color indexed="63"/>
      </left>
      <right style="double">
        <color indexed="63"/>
      </right>
      <top style="double">
        <color indexed="63"/>
      </top>
      <bottom style="hair">
        <color indexed="63"/>
      </bottom>
      <diagonal/>
    </border>
    <border>
      <left style="double">
        <color indexed="63"/>
      </left>
      <right style="thin">
        <color indexed="63"/>
      </right>
      <top style="hair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double">
        <color indexed="63"/>
      </bottom>
      <diagonal/>
    </border>
    <border>
      <left style="thin">
        <color indexed="63"/>
      </left>
      <right style="double">
        <color indexed="63"/>
      </right>
      <top style="hair">
        <color indexed="63"/>
      </top>
      <bottom style="double">
        <color indexed="63"/>
      </bottom>
      <diagonal/>
    </border>
    <border>
      <left style="double">
        <color indexed="63"/>
      </left>
      <right style="thin">
        <color indexed="63"/>
      </right>
      <top/>
      <bottom style="hair">
        <color indexed="63"/>
      </bottom>
      <diagonal/>
    </border>
    <border>
      <left style="thin">
        <color indexed="63"/>
      </left>
      <right style="thin">
        <color indexed="63"/>
      </right>
      <top/>
      <bottom style="hair">
        <color indexed="63"/>
      </bottom>
      <diagonal/>
    </border>
    <border>
      <left style="double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double">
        <color indexed="63"/>
      </right>
      <top/>
      <bottom style="hair">
        <color indexed="63"/>
      </bottom>
      <diagonal/>
    </border>
    <border>
      <left style="thin">
        <color indexed="63"/>
      </left>
      <right style="double">
        <color indexed="63"/>
      </right>
      <top style="hair">
        <color indexed="63"/>
      </top>
      <bottom style="hair">
        <color indexed="63"/>
      </bottom>
      <diagonal/>
    </border>
    <border>
      <left style="double">
        <color indexed="63"/>
      </left>
      <right/>
      <top style="double">
        <color indexed="63"/>
      </top>
      <bottom style="hair">
        <color indexed="63"/>
      </bottom>
      <diagonal/>
    </border>
    <border>
      <left/>
      <right/>
      <top style="double">
        <color indexed="63"/>
      </top>
      <bottom style="hair">
        <color indexed="63"/>
      </bottom>
      <diagonal/>
    </border>
    <border>
      <left/>
      <right style="double">
        <color indexed="63"/>
      </right>
      <top style="double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/>
      <diagonal/>
    </border>
    <border>
      <left style="thin">
        <color indexed="63"/>
      </left>
      <right style="double">
        <color indexed="63"/>
      </right>
      <top style="hair">
        <color indexed="63"/>
      </top>
      <bottom/>
      <diagonal/>
    </border>
    <border>
      <left style="double">
        <color indexed="63"/>
      </left>
      <right style="thin">
        <color indexed="63"/>
      </right>
      <top style="hair">
        <color indexed="63"/>
      </top>
      <bottom/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double">
        <color indexed="63"/>
      </bottom>
      <diagonal/>
    </border>
    <border>
      <left style="thin">
        <color indexed="63"/>
      </left>
      <right/>
      <top style="hair">
        <color indexed="63"/>
      </top>
      <bottom style="double">
        <color indexed="63"/>
      </bottom>
      <diagonal/>
    </border>
    <border>
      <left style="thin">
        <color indexed="63"/>
      </left>
      <right/>
      <top/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 style="double">
        <color indexed="63"/>
      </right>
      <top style="hair">
        <color indexed="63"/>
      </top>
      <bottom style="hair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hair">
        <color indexed="63"/>
      </bottom>
      <diagonal/>
    </border>
    <border>
      <left/>
      <right style="thin">
        <color indexed="63"/>
      </right>
      <top/>
      <bottom style="hair">
        <color indexed="63"/>
      </bottom>
      <diagonal/>
    </border>
    <border>
      <left style="double">
        <color indexed="63"/>
      </left>
      <right style="double">
        <color indexed="63"/>
      </right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double">
        <color indexed="63"/>
      </left>
      <right style="double">
        <color indexed="63"/>
      </right>
      <top style="hair">
        <color indexed="63"/>
      </top>
      <bottom style="double">
        <color indexed="63"/>
      </bottom>
      <diagonal/>
    </border>
    <border>
      <left/>
      <right style="thin">
        <color indexed="63"/>
      </right>
      <top style="hair">
        <color indexed="63"/>
      </top>
      <bottom style="double">
        <color indexed="63"/>
      </bottom>
      <diagonal/>
    </border>
    <border>
      <left style="double">
        <color indexed="63"/>
      </left>
      <right style="thin">
        <color indexed="63"/>
      </right>
      <top style="double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thin">
        <color indexed="63"/>
      </bottom>
      <diagonal/>
    </border>
    <border>
      <left style="thin">
        <color indexed="63"/>
      </left>
      <right style="double">
        <color indexed="63"/>
      </right>
      <top style="double">
        <color indexed="63"/>
      </top>
      <bottom style="thin">
        <color indexed="63"/>
      </bottom>
      <diagonal/>
    </border>
    <border>
      <left style="double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double">
        <color indexed="63"/>
      </right>
      <top/>
      <bottom/>
      <diagonal/>
    </border>
    <border>
      <left style="double">
        <color indexed="63"/>
      </left>
      <right style="thin">
        <color indexed="63"/>
      </right>
      <top/>
      <bottom style="double">
        <color indexed="63"/>
      </bottom>
      <diagonal/>
    </border>
    <border>
      <left style="thin">
        <color indexed="63"/>
      </left>
      <right style="thin">
        <color indexed="63"/>
      </right>
      <top/>
      <bottom style="double">
        <color indexed="63"/>
      </bottom>
      <diagonal/>
    </border>
    <border>
      <left style="thin">
        <color indexed="63"/>
      </left>
      <right style="double">
        <color indexed="63"/>
      </right>
      <top/>
      <bottom style="double">
        <color indexed="63"/>
      </bottom>
      <diagonal/>
    </border>
    <border>
      <left style="double">
        <color indexed="63"/>
      </left>
      <right/>
      <top/>
      <bottom style="double">
        <color indexed="63"/>
      </bottom>
      <diagonal/>
    </border>
    <border>
      <left style="thin">
        <color indexed="63"/>
      </left>
      <right/>
      <top style="double">
        <color indexed="63"/>
      </top>
      <bottom style="hair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hair">
        <color indexed="63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hair">
        <color indexed="63"/>
      </bottom>
      <diagonal/>
    </border>
    <border>
      <left style="medium">
        <color indexed="64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thin">
        <color indexed="63"/>
      </right>
      <top style="hair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hair">
        <color indexed="63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hair">
        <color indexed="63"/>
      </top>
      <bottom/>
      <diagonal/>
    </border>
    <border>
      <left style="thin">
        <color indexed="63"/>
      </left>
      <right style="medium">
        <color indexed="64"/>
      </right>
      <top style="hair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7" fontId="6" fillId="0" borderId="0" applyFill="0" applyBorder="0" applyAlignment="0" applyProtection="0"/>
    <xf numFmtId="164" fontId="6" fillId="0" borderId="0" applyFill="0" applyBorder="0" applyAlignment="0" applyProtection="0"/>
    <xf numFmtId="0" fontId="7" fillId="0" borderId="0"/>
    <xf numFmtId="9" fontId="6" fillId="0" borderId="0" applyFill="0" applyBorder="0" applyAlignment="0" applyProtection="0"/>
    <xf numFmtId="0" fontId="13" fillId="0" borderId="0" applyNumberFormat="0" applyFill="0" applyBorder="0" applyAlignment="0" applyProtection="0"/>
  </cellStyleXfs>
  <cellXfs count="50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9" fontId="2" fillId="2" borderId="1" xfId="4" applyFont="1" applyFill="1" applyBorder="1" applyAlignment="1" applyProtection="1"/>
    <xf numFmtId="0" fontId="3" fillId="0" borderId="0" xfId="0" applyFont="1"/>
    <xf numFmtId="0" fontId="0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3" borderId="3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2" fillId="0" borderId="0" xfId="0" applyFont="1"/>
    <xf numFmtId="0" fontId="0" fillId="0" borderId="0" xfId="0" applyFill="1"/>
    <xf numFmtId="0" fontId="4" fillId="0" borderId="7" xfId="0" applyFont="1" applyFill="1" applyBorder="1"/>
    <xf numFmtId="0" fontId="4" fillId="0" borderId="10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0" fontId="2" fillId="0" borderId="15" xfId="0" applyFont="1" applyFill="1" applyBorder="1"/>
    <xf numFmtId="0" fontId="0" fillId="0" borderId="16" xfId="0" applyFill="1" applyBorder="1"/>
    <xf numFmtId="0" fontId="0" fillId="0" borderId="15" xfId="0" applyFont="1" applyFill="1" applyBorder="1"/>
    <xf numFmtId="164" fontId="0" fillId="0" borderId="16" xfId="2" applyFont="1" applyFill="1" applyBorder="1" applyAlignment="1" applyProtection="1">
      <protection locked="0"/>
    </xf>
    <xf numFmtId="0" fontId="0" fillId="0" borderId="15" xfId="0" applyFont="1" applyFill="1" applyBorder="1" applyAlignment="1">
      <alignment horizontal="left"/>
    </xf>
    <xf numFmtId="164" fontId="0" fillId="0" borderId="16" xfId="2" applyFont="1" applyFill="1" applyBorder="1" applyAlignment="1" applyProtection="1"/>
    <xf numFmtId="0" fontId="2" fillId="0" borderId="10" xfId="0" applyFont="1" applyFill="1" applyBorder="1" applyAlignment="1">
      <alignment horizontal="left"/>
    </xf>
    <xf numFmtId="164" fontId="0" fillId="0" borderId="11" xfId="2" applyFont="1" applyFill="1" applyBorder="1" applyAlignment="1" applyProtection="1">
      <protection locked="0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2" xfId="0" applyFont="1" applyFill="1" applyBorder="1"/>
    <xf numFmtId="0" fontId="2" fillId="0" borderId="7" xfId="0" applyFont="1" applyFill="1" applyBorder="1"/>
    <xf numFmtId="164" fontId="0" fillId="0" borderId="8" xfId="2" applyFont="1" applyFill="1" applyBorder="1" applyAlignment="1" applyProtection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2" fillId="0" borderId="13" xfId="0" applyFont="1" applyFill="1" applyBorder="1"/>
    <xf numFmtId="164" fontId="0" fillId="0" borderId="14" xfId="2" applyFont="1" applyFill="1" applyBorder="1" applyAlignment="1" applyProtection="1"/>
    <xf numFmtId="0" fontId="0" fillId="0" borderId="14" xfId="0" applyFill="1" applyBorder="1" applyAlignment="1">
      <alignment horizontal="center"/>
    </xf>
    <xf numFmtId="0" fontId="0" fillId="0" borderId="17" xfId="0" applyFill="1" applyBorder="1"/>
    <xf numFmtId="164" fontId="0" fillId="0" borderId="18" xfId="2" applyFont="1" applyFill="1" applyBorder="1" applyAlignment="1" applyProtection="1">
      <protection locked="0"/>
    </xf>
    <xf numFmtId="0" fontId="2" fillId="0" borderId="15" xfId="0" applyFont="1" applyFill="1" applyBorder="1" applyAlignment="1">
      <alignment horizontal="left"/>
    </xf>
    <xf numFmtId="165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65" fontId="0" fillId="0" borderId="16" xfId="0" applyNumberFormat="1" applyFill="1" applyBorder="1"/>
    <xf numFmtId="165" fontId="0" fillId="0" borderId="18" xfId="0" applyNumberFormat="1" applyFill="1" applyBorder="1"/>
    <xf numFmtId="165" fontId="2" fillId="0" borderId="16" xfId="0" applyNumberFormat="1" applyFon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165" fontId="0" fillId="0" borderId="0" xfId="0" applyNumberFormat="1" applyFill="1"/>
    <xf numFmtId="164" fontId="0" fillId="0" borderId="12" xfId="2" applyFont="1" applyFill="1" applyBorder="1" applyAlignment="1" applyProtection="1">
      <protection locked="0"/>
    </xf>
    <xf numFmtId="165" fontId="2" fillId="0" borderId="0" xfId="0" applyNumberFormat="1" applyFont="1" applyFill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4" fontId="0" fillId="0" borderId="14" xfId="2" applyFont="1" applyFill="1" applyBorder="1" applyAlignment="1" applyProtection="1">
      <alignment horizontal="center"/>
      <protection locked="0"/>
    </xf>
    <xf numFmtId="164" fontId="0" fillId="0" borderId="17" xfId="2" applyFont="1" applyFill="1" applyBorder="1" applyAlignment="1" applyProtection="1">
      <alignment horizontal="center"/>
      <protection locked="0"/>
    </xf>
    <xf numFmtId="164" fontId="0" fillId="0" borderId="16" xfId="2" applyFont="1" applyFill="1" applyBorder="1" applyAlignment="1" applyProtection="1">
      <alignment horizontal="center"/>
      <protection locked="0"/>
    </xf>
    <xf numFmtId="164" fontId="0" fillId="0" borderId="18" xfId="2" applyFont="1" applyFill="1" applyBorder="1" applyAlignment="1" applyProtection="1">
      <alignment horizontal="center"/>
      <protection locked="0"/>
    </xf>
    <xf numFmtId="165" fontId="0" fillId="0" borderId="22" xfId="0" applyNumberFormat="1" applyFill="1" applyBorder="1" applyAlignment="1">
      <alignment horizontal="center"/>
    </xf>
    <xf numFmtId="165" fontId="0" fillId="0" borderId="23" xfId="0" applyNumberFormat="1" applyFill="1" applyBorder="1"/>
    <xf numFmtId="0" fontId="2" fillId="0" borderId="24" xfId="0" applyFont="1" applyFill="1" applyBorder="1"/>
    <xf numFmtId="164" fontId="0" fillId="0" borderId="11" xfId="2" applyFont="1" applyFill="1" applyBorder="1" applyAlignment="1" applyProtection="1">
      <alignment horizontal="center"/>
      <protection locked="0"/>
    </xf>
    <xf numFmtId="164" fontId="0" fillId="0" borderId="12" xfId="2" applyFont="1" applyFill="1" applyBorder="1" applyAlignment="1" applyProtection="1">
      <alignment horizontal="center"/>
      <protection locked="0"/>
    </xf>
    <xf numFmtId="0" fontId="0" fillId="0" borderId="7" xfId="0" applyFill="1" applyBorder="1"/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2" fillId="0" borderId="0" xfId="0" applyFont="1" applyFill="1"/>
    <xf numFmtId="166" fontId="0" fillId="0" borderId="0" xfId="0" applyNumberFormat="1" applyFill="1" applyAlignment="1">
      <alignment horizontal="center"/>
    </xf>
    <xf numFmtId="166" fontId="2" fillId="0" borderId="8" xfId="0" applyNumberFormat="1" applyFont="1" applyFill="1" applyBorder="1" applyAlignment="1">
      <alignment horizontal="center"/>
    </xf>
    <xf numFmtId="166" fontId="2" fillId="0" borderId="9" xfId="0" applyNumberFormat="1" applyFont="1" applyFill="1" applyBorder="1" applyAlignment="1">
      <alignment horizontal="center"/>
    </xf>
    <xf numFmtId="164" fontId="0" fillId="0" borderId="22" xfId="2" applyFont="1" applyFill="1" applyBorder="1" applyAlignment="1" applyProtection="1">
      <alignment horizontal="center"/>
      <protection locked="0"/>
    </xf>
    <xf numFmtId="164" fontId="0" fillId="0" borderId="23" xfId="2" applyFont="1" applyFill="1" applyBorder="1" applyAlignment="1" applyProtection="1">
      <alignment horizontal="center"/>
      <protection locked="0"/>
    </xf>
    <xf numFmtId="9" fontId="0" fillId="0" borderId="11" xfId="4" applyFont="1" applyFill="1" applyBorder="1" applyAlignment="1" applyProtection="1">
      <alignment horizontal="center"/>
      <protection locked="0"/>
    </xf>
    <xf numFmtId="9" fontId="0" fillId="0" borderId="12" xfId="4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>
      <alignment horizontal="center"/>
    </xf>
    <xf numFmtId="164" fontId="0" fillId="0" borderId="8" xfId="2" applyFont="1" applyFill="1" applyBorder="1" applyAlignment="1" applyProtection="1">
      <alignment horizontal="center"/>
      <protection locked="0"/>
    </xf>
    <xf numFmtId="164" fontId="0" fillId="0" borderId="9" xfId="2" applyFont="1" applyFill="1" applyBorder="1" applyAlignment="1" applyProtection="1">
      <alignment horizontal="center"/>
      <protection locked="0"/>
    </xf>
    <xf numFmtId="164" fontId="0" fillId="0" borderId="16" xfId="2" applyFont="1" applyFill="1" applyBorder="1" applyAlignment="1" applyProtection="1">
      <alignment horizontal="center"/>
    </xf>
    <xf numFmtId="164" fontId="0" fillId="0" borderId="18" xfId="2" applyFont="1" applyFill="1" applyBorder="1" applyAlignment="1" applyProtection="1">
      <alignment horizontal="center"/>
    </xf>
    <xf numFmtId="9" fontId="0" fillId="0" borderId="16" xfId="4" applyFont="1" applyFill="1" applyBorder="1" applyAlignment="1" applyProtection="1">
      <alignment horizontal="center"/>
      <protection locked="0"/>
    </xf>
    <xf numFmtId="9" fontId="0" fillId="0" borderId="18" xfId="4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67" fontId="0" fillId="0" borderId="16" xfId="1" applyFont="1" applyFill="1" applyBorder="1" applyAlignment="1" applyProtection="1">
      <alignment horizontal="center"/>
      <protection locked="0"/>
    </xf>
    <xf numFmtId="167" fontId="0" fillId="0" borderId="18" xfId="1" applyFont="1" applyFill="1" applyBorder="1" applyAlignment="1" applyProtection="1">
      <alignment horizontal="center"/>
      <protection locked="0"/>
    </xf>
    <xf numFmtId="164" fontId="2" fillId="0" borderId="16" xfId="2" applyFont="1" applyFill="1" applyBorder="1" applyAlignment="1" applyProtection="1">
      <alignment horizontal="center"/>
      <protection locked="0"/>
    </xf>
    <xf numFmtId="164" fontId="2" fillId="0" borderId="18" xfId="2" applyFont="1" applyFill="1" applyBorder="1" applyAlignment="1" applyProtection="1">
      <alignment horizontal="center"/>
      <protection locked="0"/>
    </xf>
    <xf numFmtId="164" fontId="2" fillId="0" borderId="16" xfId="2" applyFont="1" applyFill="1" applyBorder="1" applyAlignment="1" applyProtection="1">
      <alignment horizontal="center"/>
    </xf>
    <xf numFmtId="164" fontId="2" fillId="0" borderId="18" xfId="2" applyFont="1" applyFill="1" applyBorder="1" applyAlignment="1" applyProtection="1">
      <alignment horizontal="center"/>
    </xf>
    <xf numFmtId="9" fontId="0" fillId="0" borderId="16" xfId="4" applyFont="1" applyFill="1" applyBorder="1" applyAlignment="1" applyProtection="1">
      <protection locked="0"/>
    </xf>
    <xf numFmtId="9" fontId="0" fillId="0" borderId="18" xfId="4" applyFont="1" applyFill="1" applyBorder="1" applyAlignment="1" applyProtection="1">
      <protection locked="0"/>
    </xf>
    <xf numFmtId="9" fontId="0" fillId="0" borderId="16" xfId="4" applyFont="1" applyFill="1" applyBorder="1" applyAlignment="1" applyProtection="1"/>
    <xf numFmtId="9" fontId="0" fillId="0" borderId="18" xfId="4" applyFont="1" applyFill="1" applyBorder="1" applyAlignment="1" applyProtection="1"/>
    <xf numFmtId="164" fontId="0" fillId="0" borderId="18" xfId="2" applyFont="1" applyFill="1" applyBorder="1" applyAlignment="1" applyProtection="1"/>
    <xf numFmtId="0" fontId="4" fillId="0" borderId="0" xfId="0" applyFont="1" applyFill="1"/>
    <xf numFmtId="0" fontId="0" fillId="0" borderId="0" xfId="0" applyBorder="1"/>
    <xf numFmtId="0" fontId="2" fillId="0" borderId="25" xfId="0" applyFont="1" applyFill="1" applyBorder="1"/>
    <xf numFmtId="164" fontId="0" fillId="0" borderId="14" xfId="2" applyFont="1" applyFill="1" applyBorder="1" applyAlignment="1" applyProtection="1">
      <alignment horizontal="center"/>
    </xf>
    <xf numFmtId="164" fontId="0" fillId="0" borderId="17" xfId="2" applyFont="1" applyFill="1" applyBorder="1" applyAlignment="1" applyProtection="1">
      <alignment horizontal="center"/>
    </xf>
    <xf numFmtId="0" fontId="0" fillId="0" borderId="25" xfId="0" applyFill="1" applyBorder="1"/>
    <xf numFmtId="0" fontId="2" fillId="0" borderId="26" xfId="0" applyFont="1" applyFill="1" applyBorder="1"/>
    <xf numFmtId="0" fontId="2" fillId="0" borderId="11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/>
    </xf>
    <xf numFmtId="164" fontId="0" fillId="0" borderId="28" xfId="2" applyFont="1" applyFill="1" applyBorder="1" applyAlignment="1" applyProtection="1">
      <alignment horizontal="center"/>
    </xf>
    <xf numFmtId="0" fontId="0" fillId="0" borderId="25" xfId="0" applyFont="1" applyFill="1" applyBorder="1"/>
    <xf numFmtId="164" fontId="0" fillId="0" borderId="29" xfId="2" applyFont="1" applyFill="1" applyBorder="1" applyAlignment="1" applyProtection="1">
      <alignment horizontal="center"/>
      <protection locked="0"/>
    </xf>
    <xf numFmtId="164" fontId="0" fillId="0" borderId="29" xfId="2" applyFont="1" applyFill="1" applyBorder="1" applyAlignment="1" applyProtection="1">
      <alignment horizontal="center"/>
    </xf>
    <xf numFmtId="164" fontId="0" fillId="0" borderId="27" xfId="2" applyFont="1" applyFill="1" applyBorder="1" applyAlignment="1" applyProtection="1">
      <alignment horizontal="center"/>
      <protection locked="0"/>
    </xf>
    <xf numFmtId="0" fontId="4" fillId="0" borderId="19" xfId="0" applyFont="1" applyFill="1" applyBorder="1" applyAlignment="1">
      <alignment horizontal="left"/>
    </xf>
    <xf numFmtId="0" fontId="4" fillId="0" borderId="30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32" xfId="0" applyFont="1" applyFill="1" applyBorder="1"/>
    <xf numFmtId="164" fontId="0" fillId="0" borderId="33" xfId="2" applyFont="1" applyFill="1" applyBorder="1" applyAlignment="1" applyProtection="1">
      <alignment horizontal="center"/>
    </xf>
    <xf numFmtId="0" fontId="0" fillId="0" borderId="34" xfId="0" applyFont="1" applyFill="1" applyBorder="1"/>
    <xf numFmtId="164" fontId="0" fillId="0" borderId="35" xfId="2" applyFont="1" applyFill="1" applyBorder="1" applyAlignment="1" applyProtection="1">
      <alignment horizontal="center"/>
      <protection locked="0"/>
    </xf>
    <xf numFmtId="0" fontId="2" fillId="0" borderId="34" xfId="0" applyFont="1" applyFill="1" applyBorder="1"/>
    <xf numFmtId="164" fontId="0" fillId="0" borderId="35" xfId="2" applyFont="1" applyFill="1" applyBorder="1" applyAlignment="1" applyProtection="1">
      <alignment horizontal="center"/>
    </xf>
    <xf numFmtId="0" fontId="2" fillId="0" borderId="34" xfId="0" applyFont="1" applyFill="1" applyBorder="1" applyAlignment="1">
      <alignment horizontal="left"/>
    </xf>
    <xf numFmtId="0" fontId="2" fillId="0" borderId="36" xfId="0" applyFont="1" applyFill="1" applyBorder="1"/>
    <xf numFmtId="164" fontId="0" fillId="0" borderId="37" xfId="2" applyFon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32" xfId="0" applyFont="1" applyFill="1" applyBorder="1" applyAlignment="1">
      <alignment horizontal="center"/>
    </xf>
    <xf numFmtId="164" fontId="0" fillId="0" borderId="33" xfId="2" applyFont="1" applyFill="1" applyBorder="1" applyAlignment="1" applyProtection="1">
      <alignment horizontal="center"/>
      <protection locked="0"/>
    </xf>
    <xf numFmtId="164" fontId="0" fillId="0" borderId="28" xfId="2" applyFont="1" applyFill="1" applyBorder="1" applyAlignment="1" applyProtection="1">
      <alignment horizontal="center"/>
      <protection locked="0"/>
    </xf>
    <xf numFmtId="0" fontId="2" fillId="0" borderId="34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4" fontId="0" fillId="0" borderId="1" xfId="2" applyFont="1" applyFill="1" applyBorder="1" applyAlignment="1" applyProtection="1">
      <protection locked="0"/>
    </xf>
    <xf numFmtId="9" fontId="0" fillId="0" borderId="1" xfId="4" applyFont="1" applyFill="1" applyBorder="1" applyAlignment="1" applyProtection="1">
      <protection locked="0"/>
    </xf>
    <xf numFmtId="0" fontId="0" fillId="0" borderId="1" xfId="0" applyBorder="1"/>
    <xf numFmtId="0" fontId="4" fillId="0" borderId="7" xfId="0" applyFont="1" applyFill="1" applyBorder="1" applyAlignment="1">
      <alignment horizontal="left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164" fontId="2" fillId="0" borderId="11" xfId="2" applyFont="1" applyFill="1" applyBorder="1" applyAlignment="1" applyProtection="1">
      <alignment horizontal="center"/>
      <protection locked="0"/>
    </xf>
    <xf numFmtId="1" fontId="2" fillId="0" borderId="0" xfId="0" applyNumberFormat="1" applyFont="1" applyFill="1" applyAlignment="1">
      <alignment horizontal="center"/>
    </xf>
    <xf numFmtId="0" fontId="4" fillId="0" borderId="38" xfId="0" applyFont="1" applyFill="1" applyBorder="1" applyAlignment="1">
      <alignment horizontal="left"/>
    </xf>
    <xf numFmtId="0" fontId="4" fillId="0" borderId="39" xfId="0" applyFont="1" applyFill="1" applyBorder="1" applyAlignment="1">
      <alignment horizontal="left"/>
    </xf>
    <xf numFmtId="0" fontId="4" fillId="0" borderId="40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168" fontId="0" fillId="0" borderId="7" xfId="0" applyNumberFormat="1" applyFont="1" applyFill="1" applyBorder="1" applyProtection="1">
      <protection locked="0"/>
    </xf>
    <xf numFmtId="164" fontId="0" fillId="0" borderId="8" xfId="2" applyFont="1" applyFill="1" applyBorder="1" applyAlignment="1" applyProtection="1">
      <protection locked="0"/>
    </xf>
    <xf numFmtId="9" fontId="0" fillId="0" borderId="8" xfId="4" applyFont="1" applyFill="1" applyBorder="1" applyAlignment="1" applyProtection="1">
      <protection locked="0"/>
    </xf>
    <xf numFmtId="168" fontId="0" fillId="0" borderId="15" xfId="0" applyNumberFormat="1" applyFont="1" applyFill="1" applyBorder="1" applyProtection="1">
      <protection locked="0"/>
    </xf>
    <xf numFmtId="168" fontId="0" fillId="0" borderId="10" xfId="0" applyNumberFormat="1" applyFont="1" applyFill="1" applyBorder="1" applyProtection="1">
      <protection locked="0"/>
    </xf>
    <xf numFmtId="9" fontId="0" fillId="0" borderId="11" xfId="4" applyFont="1" applyFill="1" applyBorder="1" applyAlignment="1" applyProtection="1">
      <protection locked="0"/>
    </xf>
    <xf numFmtId="0" fontId="2" fillId="0" borderId="0" xfId="0" applyFont="1" applyFill="1" applyBorder="1" applyAlignment="1">
      <alignment horizontal="right"/>
    </xf>
    <xf numFmtId="164" fontId="2" fillId="0" borderId="0" xfId="2" applyFont="1" applyFill="1" applyBorder="1" applyAlignment="1" applyProtection="1">
      <alignment horizontal="center"/>
    </xf>
    <xf numFmtId="164" fontId="2" fillId="0" borderId="1" xfId="2" applyFont="1" applyFill="1" applyBorder="1" applyAlignment="1" applyProtection="1">
      <alignment horizontal="center"/>
      <protection locked="0"/>
    </xf>
    <xf numFmtId="164" fontId="2" fillId="0" borderId="0" xfId="2" applyFont="1" applyFill="1" applyBorder="1" applyAlignment="1" applyProtection="1"/>
    <xf numFmtId="9" fontId="0" fillId="0" borderId="0" xfId="4" applyFont="1" applyFill="1" applyBorder="1" applyAlignment="1" applyProtection="1"/>
    <xf numFmtId="0" fontId="0" fillId="0" borderId="0" xfId="0" applyFill="1" applyProtection="1"/>
    <xf numFmtId="0" fontId="4" fillId="0" borderId="19" xfId="0" applyFont="1" applyFill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center"/>
    </xf>
    <xf numFmtId="0" fontId="4" fillId="0" borderId="21" xfId="0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2" fillId="0" borderId="26" xfId="0" applyFont="1" applyFill="1" applyBorder="1" applyProtection="1"/>
    <xf numFmtId="0" fontId="2" fillId="0" borderId="0" xfId="0" applyFont="1" applyFill="1" applyAlignment="1" applyProtection="1">
      <alignment horizontal="center"/>
    </xf>
    <xf numFmtId="0" fontId="0" fillId="0" borderId="47" xfId="0" applyFill="1" applyBorder="1" applyProtection="1"/>
    <xf numFmtId="164" fontId="2" fillId="0" borderId="17" xfId="2" applyFont="1" applyFill="1" applyBorder="1" applyAlignment="1" applyProtection="1">
      <alignment horizontal="center"/>
    </xf>
    <xf numFmtId="0" fontId="2" fillId="0" borderId="15" xfId="0" applyFont="1" applyFill="1" applyBorder="1" applyProtection="1"/>
    <xf numFmtId="0" fontId="2" fillId="0" borderId="15" xfId="0" applyFont="1" applyFill="1" applyBorder="1" applyAlignment="1" applyProtection="1">
      <alignment horizontal="left"/>
    </xf>
    <xf numFmtId="0" fontId="2" fillId="0" borderId="10" xfId="0" applyFont="1" applyFill="1" applyBorder="1" applyProtection="1"/>
    <xf numFmtId="0" fontId="4" fillId="0" borderId="0" xfId="0" applyFont="1" applyFill="1" applyProtection="1"/>
    <xf numFmtId="0" fontId="4" fillId="0" borderId="30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center"/>
    </xf>
    <xf numFmtId="0" fontId="4" fillId="0" borderId="31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wrapText="1"/>
    </xf>
    <xf numFmtId="0" fontId="2" fillId="0" borderId="32" xfId="0" applyFont="1" applyFill="1" applyBorder="1" applyProtection="1"/>
    <xf numFmtId="0" fontId="0" fillId="0" borderId="34" xfId="0" applyFont="1" applyFill="1" applyBorder="1" applyProtection="1"/>
    <xf numFmtId="0" fontId="0" fillId="0" borderId="34" xfId="0" applyFont="1" applyFill="1" applyBorder="1" applyAlignment="1" applyProtection="1">
      <alignment horizontal="left"/>
    </xf>
    <xf numFmtId="0" fontId="2" fillId="0" borderId="34" xfId="0" applyFont="1" applyFill="1" applyBorder="1" applyProtection="1"/>
    <xf numFmtId="0" fontId="2" fillId="0" borderId="34" xfId="0" applyFont="1" applyFill="1" applyBorder="1" applyAlignment="1" applyProtection="1">
      <alignment horizontal="left"/>
    </xf>
    <xf numFmtId="0" fontId="2" fillId="0" borderId="36" xfId="0" applyFont="1" applyFill="1" applyBorder="1" applyProtection="1"/>
    <xf numFmtId="0" fontId="0" fillId="0" borderId="0" xfId="0" applyProtection="1"/>
    <xf numFmtId="0" fontId="4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center"/>
    </xf>
    <xf numFmtId="0" fontId="4" fillId="0" borderId="48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0" fillId="0" borderId="15" xfId="0" applyFill="1" applyBorder="1" applyProtection="1"/>
    <xf numFmtId="0" fontId="2" fillId="0" borderId="16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/>
    </xf>
    <xf numFmtId="167" fontId="0" fillId="0" borderId="29" xfId="1" applyFont="1" applyFill="1" applyBorder="1" applyAlignment="1" applyProtection="1">
      <alignment horizontal="center"/>
      <protection locked="0"/>
    </xf>
    <xf numFmtId="167" fontId="0" fillId="0" borderId="16" xfId="1" applyFont="1" applyFill="1" applyBorder="1" applyAlignment="1" applyProtection="1">
      <protection locked="0"/>
    </xf>
    <xf numFmtId="167" fontId="0" fillId="0" borderId="29" xfId="1" applyFont="1" applyFill="1" applyBorder="1" applyAlignment="1" applyProtection="1">
      <protection locked="0"/>
    </xf>
    <xf numFmtId="167" fontId="0" fillId="0" borderId="18" xfId="1" applyFont="1" applyFill="1" applyBorder="1" applyAlignment="1" applyProtection="1">
      <protection locked="0"/>
    </xf>
    <xf numFmtId="164" fontId="0" fillId="0" borderId="27" xfId="2" applyFont="1" applyFill="1" applyBorder="1" applyAlignment="1" applyProtection="1">
      <protection locked="0"/>
    </xf>
    <xf numFmtId="0" fontId="0" fillId="0" borderId="24" xfId="0" applyFill="1" applyBorder="1" applyProtection="1"/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167" fontId="0" fillId="0" borderId="16" xfId="1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 wrapText="1"/>
    </xf>
    <xf numFmtId="0" fontId="2" fillId="0" borderId="12" xfId="0" applyFont="1" applyFill="1" applyBorder="1" applyAlignment="1" applyProtection="1">
      <alignment horizontal="center" wrapText="1"/>
    </xf>
    <xf numFmtId="0" fontId="2" fillId="0" borderId="32" xfId="0" applyFont="1" applyFill="1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center"/>
    </xf>
    <xf numFmtId="0" fontId="5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5" fontId="0" fillId="0" borderId="0" xfId="0" applyNumberFormat="1" applyFill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3" fontId="0" fillId="3" borderId="1" xfId="0" applyNumberFormat="1" applyFill="1" applyBorder="1" applyProtection="1">
      <protection locked="0"/>
    </xf>
    <xf numFmtId="43" fontId="0" fillId="0" borderId="0" xfId="0" applyNumberFormat="1" applyFill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44" fontId="0" fillId="0" borderId="0" xfId="0" applyNumberFormat="1" applyFill="1"/>
    <xf numFmtId="44" fontId="0" fillId="0" borderId="16" xfId="2" applyNumberFormat="1" applyFont="1" applyFill="1" applyBorder="1" applyAlignment="1" applyProtection="1">
      <alignment horizontal="center"/>
      <protection locked="0"/>
    </xf>
    <xf numFmtId="44" fontId="0" fillId="0" borderId="18" xfId="2" applyNumberFormat="1" applyFont="1" applyFill="1" applyBorder="1" applyAlignment="1" applyProtection="1">
      <protection locked="0"/>
    </xf>
    <xf numFmtId="44" fontId="0" fillId="0" borderId="18" xfId="2" applyNumberFormat="1" applyFont="1" applyFill="1" applyBorder="1" applyAlignment="1" applyProtection="1">
      <alignment horizontal="center"/>
      <protection locked="0"/>
    </xf>
    <xf numFmtId="44" fontId="0" fillId="0" borderId="22" xfId="0" applyNumberFormat="1" applyFill="1" applyBorder="1" applyAlignment="1">
      <alignment horizontal="center"/>
    </xf>
    <xf numFmtId="10" fontId="0" fillId="0" borderId="22" xfId="0" applyNumberFormat="1" applyFill="1" applyBorder="1" applyAlignment="1" applyProtection="1">
      <alignment horizontal="center"/>
      <protection locked="0"/>
    </xf>
    <xf numFmtId="10" fontId="0" fillId="0" borderId="11" xfId="2" applyNumberFormat="1" applyFont="1" applyFill="1" applyBorder="1" applyAlignment="1" applyProtection="1">
      <alignment horizontal="center"/>
      <protection locked="0"/>
    </xf>
    <xf numFmtId="10" fontId="0" fillId="0" borderId="16" xfId="4" applyNumberFormat="1" applyFont="1" applyFill="1" applyBorder="1" applyAlignment="1" applyProtection="1">
      <alignment horizontal="center"/>
      <protection locked="0"/>
    </xf>
    <xf numFmtId="167" fontId="2" fillId="0" borderId="16" xfId="2" applyNumberFormat="1" applyFont="1" applyFill="1" applyBorder="1" applyAlignment="1" applyProtection="1">
      <alignment horizontal="center"/>
      <protection locked="0"/>
    </xf>
    <xf numFmtId="164" fontId="0" fillId="0" borderId="16" xfId="4" applyNumberFormat="1" applyFont="1" applyFill="1" applyBorder="1" applyAlignment="1" applyProtection="1">
      <protection locked="0"/>
    </xf>
    <xf numFmtId="44" fontId="0" fillId="0" borderId="16" xfId="4" applyNumberFormat="1" applyFont="1" applyFill="1" applyBorder="1" applyAlignment="1" applyProtection="1">
      <protection locked="0"/>
    </xf>
    <xf numFmtId="169" fontId="0" fillId="0" borderId="16" xfId="4" applyNumberFormat="1" applyFont="1" applyFill="1" applyBorder="1" applyAlignment="1" applyProtection="1">
      <protection locked="0"/>
    </xf>
    <xf numFmtId="0" fontId="7" fillId="0" borderId="0" xfId="3"/>
    <xf numFmtId="0" fontId="7" fillId="0" borderId="0" xfId="3" applyAlignment="1">
      <alignment wrapText="1"/>
    </xf>
    <xf numFmtId="0" fontId="8" fillId="0" borderId="0" xfId="3" applyFont="1"/>
    <xf numFmtId="0" fontId="9" fillId="0" borderId="0" xfId="3" applyFont="1"/>
    <xf numFmtId="0" fontId="7" fillId="0" borderId="50" xfId="3" applyBorder="1"/>
    <xf numFmtId="1" fontId="7" fillId="0" borderId="50" xfId="3" applyNumberFormat="1" applyBorder="1"/>
    <xf numFmtId="2" fontId="7" fillId="0" borderId="50" xfId="3" applyNumberFormat="1" applyBorder="1"/>
    <xf numFmtId="0" fontId="7" fillId="4" borderId="50" xfId="3" applyFill="1" applyBorder="1"/>
    <xf numFmtId="0" fontId="8" fillId="4" borderId="50" xfId="3" applyFont="1" applyFill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10" fontId="0" fillId="0" borderId="11" xfId="4" applyNumberFormat="1" applyFont="1" applyFill="1" applyBorder="1" applyAlignment="1" applyProtection="1">
      <alignment horizontal="center"/>
      <protection locked="0"/>
    </xf>
    <xf numFmtId="10" fontId="0" fillId="0" borderId="11" xfId="2" applyNumberFormat="1" applyFont="1" applyFill="1" applyBorder="1" applyAlignment="1" applyProtection="1">
      <protection locked="0"/>
    </xf>
    <xf numFmtId="170" fontId="0" fillId="0" borderId="0" xfId="0" applyNumberFormat="1" applyFill="1"/>
    <xf numFmtId="170" fontId="0" fillId="0" borderId="22" xfId="0" applyNumberFormat="1" applyFill="1" applyBorder="1" applyAlignment="1" applyProtection="1">
      <alignment horizontal="center"/>
      <protection locked="0"/>
    </xf>
    <xf numFmtId="170" fontId="0" fillId="0" borderId="16" xfId="2" applyNumberFormat="1" applyFont="1" applyFill="1" applyBorder="1" applyAlignment="1" applyProtection="1">
      <alignment horizontal="center"/>
      <protection locked="0"/>
    </xf>
    <xf numFmtId="1" fontId="0" fillId="0" borderId="0" xfId="0" applyNumberFormat="1"/>
    <xf numFmtId="43" fontId="0" fillId="0" borderId="1" xfId="0" applyNumberFormat="1" applyFill="1" applyBorder="1" applyProtection="1">
      <protection locked="0"/>
    </xf>
    <xf numFmtId="171" fontId="0" fillId="0" borderId="50" xfId="0" applyNumberFormat="1" applyBorder="1"/>
    <xf numFmtId="10" fontId="0" fillId="0" borderId="50" xfId="0" applyNumberFormat="1" applyBorder="1"/>
    <xf numFmtId="0" fontId="2" fillId="0" borderId="50" xfId="0" applyFont="1" applyBorder="1" applyAlignment="1">
      <alignment horizontal="center"/>
    </xf>
    <xf numFmtId="9" fontId="0" fillId="0" borderId="50" xfId="0" applyNumberFormat="1" applyBorder="1"/>
    <xf numFmtId="0" fontId="10" fillId="0" borderId="0" xfId="0" applyFont="1"/>
    <xf numFmtId="0" fontId="11" fillId="0" borderId="0" xfId="0" applyFont="1" applyFill="1"/>
    <xf numFmtId="164" fontId="6" fillId="0" borderId="0" xfId="2"/>
    <xf numFmtId="166" fontId="11" fillId="0" borderId="0" xfId="0" applyNumberFormat="1" applyFont="1" applyFill="1" applyAlignment="1">
      <alignment horizontal="left"/>
    </xf>
    <xf numFmtId="166" fontId="11" fillId="0" borderId="0" xfId="0" applyNumberFormat="1" applyFont="1" applyFill="1" applyAlignment="1">
      <alignment horizontal="center"/>
    </xf>
    <xf numFmtId="164" fontId="0" fillId="5" borderId="16" xfId="2" applyFont="1" applyFill="1" applyBorder="1" applyAlignment="1" applyProtection="1">
      <protection locked="0"/>
    </xf>
    <xf numFmtId="0" fontId="12" fillId="0" borderId="0" xfId="0" applyFont="1" applyAlignment="1">
      <alignment vertical="center"/>
    </xf>
    <xf numFmtId="0" fontId="13" fillId="0" borderId="0" xfId="5" applyAlignment="1">
      <alignment vertical="center"/>
    </xf>
    <xf numFmtId="0" fontId="13" fillId="0" borderId="0" xfId="5" applyAlignment="1"/>
    <xf numFmtId="0" fontId="0" fillId="0" borderId="50" xfId="0" applyBorder="1"/>
    <xf numFmtId="0" fontId="0" fillId="0" borderId="55" xfId="0" applyBorder="1"/>
    <xf numFmtId="0" fontId="12" fillId="0" borderId="55" xfId="0" applyFont="1" applyBorder="1"/>
    <xf numFmtId="0" fontId="0" fillId="0" borderId="57" xfId="0" applyBorder="1"/>
    <xf numFmtId="0" fontId="0" fillId="0" borderId="58" xfId="0" applyBorder="1"/>
    <xf numFmtId="172" fontId="0" fillId="0" borderId="55" xfId="0" applyNumberFormat="1" applyBorder="1"/>
    <xf numFmtId="172" fontId="12" fillId="0" borderId="55" xfId="0" applyNumberFormat="1" applyFont="1" applyBorder="1"/>
    <xf numFmtId="172" fontId="0" fillId="0" borderId="58" xfId="0" applyNumberFormat="1" applyBorder="1"/>
    <xf numFmtId="172" fontId="0" fillId="0" borderId="58" xfId="0" applyNumberFormat="1" applyFill="1" applyBorder="1"/>
    <xf numFmtId="0" fontId="14" fillId="4" borderId="51" xfId="0" applyFont="1" applyFill="1" applyBorder="1"/>
    <xf numFmtId="0" fontId="14" fillId="4" borderId="54" xfId="0" applyFont="1" applyFill="1" applyBorder="1"/>
    <xf numFmtId="0" fontId="14" fillId="4" borderId="56" xfId="0" applyFont="1" applyFill="1" applyBorder="1"/>
    <xf numFmtId="0" fontId="2" fillId="4" borderId="52" xfId="0" applyFont="1" applyFill="1" applyBorder="1"/>
    <xf numFmtId="0" fontId="2" fillId="4" borderId="53" xfId="0" applyFont="1" applyFill="1" applyBorder="1"/>
    <xf numFmtId="0" fontId="2" fillId="4" borderId="51" xfId="0" applyFont="1" applyFill="1" applyBorder="1"/>
    <xf numFmtId="0" fontId="2" fillId="4" borderId="54" xfId="0" applyFont="1" applyFill="1" applyBorder="1"/>
    <xf numFmtId="0" fontId="15" fillId="4" borderId="54" xfId="0" applyFont="1" applyFill="1" applyBorder="1"/>
    <xf numFmtId="164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9" xfId="0" applyFont="1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horizontal="center" vertical="center"/>
    </xf>
    <xf numFmtId="0" fontId="2" fillId="0" borderId="6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2" fillId="0" borderId="64" xfId="0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59" xfId="0" applyFill="1" applyBorder="1"/>
    <xf numFmtId="0" fontId="0" fillId="0" borderId="60" xfId="0" applyFill="1" applyBorder="1"/>
    <xf numFmtId="0" fontId="0" fillId="0" borderId="61" xfId="0" applyFill="1" applyBorder="1"/>
    <xf numFmtId="0" fontId="0" fillId="0" borderId="62" xfId="0" applyFill="1" applyBorder="1"/>
    <xf numFmtId="0" fontId="0" fillId="0" borderId="0" xfId="0" applyFill="1" applyBorder="1"/>
    <xf numFmtId="0" fontId="0" fillId="0" borderId="63" xfId="0" applyFill="1" applyBorder="1"/>
    <xf numFmtId="0" fontId="0" fillId="0" borderId="0" xfId="0" applyBorder="1" applyAlignment="1">
      <alignment horizontal="center" vertical="center"/>
    </xf>
    <xf numFmtId="0" fontId="2" fillId="0" borderId="6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0" fillId="0" borderId="65" xfId="0" applyBorder="1" applyAlignment="1">
      <alignment horizontal="center"/>
    </xf>
    <xf numFmtId="10" fontId="0" fillId="0" borderId="0" xfId="0" applyNumberFormat="1"/>
    <xf numFmtId="10" fontId="0" fillId="7" borderId="5" xfId="0" applyNumberFormat="1" applyFill="1" applyBorder="1" applyProtection="1">
      <protection locked="0"/>
    </xf>
    <xf numFmtId="10" fontId="0" fillId="3" borderId="6" xfId="0" applyNumberFormat="1" applyFill="1" applyBorder="1" applyProtection="1">
      <protection locked="0"/>
    </xf>
    <xf numFmtId="10" fontId="0" fillId="3" borderId="1" xfId="0" applyNumberFormat="1" applyFill="1" applyBorder="1" applyProtection="1">
      <protection locked="0"/>
    </xf>
    <xf numFmtId="0" fontId="0" fillId="6" borderId="1" xfId="0" applyNumberFormat="1" applyFill="1" applyBorder="1" applyProtection="1">
      <protection locked="0"/>
    </xf>
    <xf numFmtId="164" fontId="0" fillId="0" borderId="14" xfId="0" applyNumberFormat="1" applyFill="1" applyBorder="1"/>
    <xf numFmtId="44" fontId="0" fillId="0" borderId="14" xfId="2" applyNumberFormat="1" applyFont="1" applyFill="1" applyBorder="1" applyAlignment="1" applyProtection="1">
      <alignment horizontal="center"/>
      <protection locked="0"/>
    </xf>
    <xf numFmtId="173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174" fontId="0" fillId="0" borderId="50" xfId="0" applyNumberFormat="1" applyBorder="1"/>
    <xf numFmtId="0" fontId="0" fillId="4" borderId="50" xfId="0" applyFill="1" applyBorder="1"/>
    <xf numFmtId="174" fontId="0" fillId="4" borderId="50" xfId="0" applyNumberFormat="1" applyFill="1" applyBorder="1"/>
    <xf numFmtId="0" fontId="0" fillId="0" borderId="54" xfId="0" applyBorder="1"/>
    <xf numFmtId="174" fontId="0" fillId="0" borderId="55" xfId="0" applyNumberFormat="1" applyBorder="1"/>
    <xf numFmtId="174" fontId="0" fillId="4" borderId="55" xfId="0" applyNumberFormat="1" applyFill="1" applyBorder="1"/>
    <xf numFmtId="174" fontId="0" fillId="0" borderId="57" xfId="0" applyNumberFormat="1" applyBorder="1"/>
    <xf numFmtId="174" fontId="0" fillId="0" borderId="58" xfId="0" applyNumberFormat="1" applyBorder="1"/>
    <xf numFmtId="0" fontId="2" fillId="4" borderId="51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10" fontId="0" fillId="0" borderId="50" xfId="0" applyNumberFormat="1" applyBorder="1" applyAlignment="1">
      <alignment horizontal="right"/>
    </xf>
    <xf numFmtId="0" fontId="0" fillId="4" borderId="50" xfId="0" applyFill="1" applyBorder="1" applyAlignment="1">
      <alignment horizontal="center" vertical="center" wrapText="1"/>
    </xf>
    <xf numFmtId="174" fontId="0" fillId="0" borderId="16" xfId="2" applyNumberFormat="1" applyFont="1" applyFill="1" applyBorder="1" applyAlignment="1" applyProtection="1">
      <alignment horizontal="center"/>
      <protection locked="0"/>
    </xf>
    <xf numFmtId="168" fontId="0" fillId="0" borderId="7" xfId="0" applyNumberFormat="1" applyFont="1" applyFill="1" applyBorder="1" applyAlignment="1" applyProtection="1">
      <alignment horizontal="center"/>
      <protection locked="0"/>
    </xf>
    <xf numFmtId="168" fontId="0" fillId="0" borderId="15" xfId="0" applyNumberFormat="1" applyFont="1" applyFill="1" applyBorder="1" applyAlignment="1" applyProtection="1">
      <alignment horizontal="center"/>
      <protection locked="0"/>
    </xf>
    <xf numFmtId="174" fontId="0" fillId="0" borderId="0" xfId="0" applyNumberFormat="1" applyBorder="1"/>
    <xf numFmtId="43" fontId="0" fillId="0" borderId="0" xfId="0" applyNumberFormat="1" applyFill="1" applyProtection="1"/>
    <xf numFmtId="0" fontId="2" fillId="0" borderId="67" xfId="0" applyFont="1" applyFill="1" applyBorder="1" applyProtection="1"/>
    <xf numFmtId="167" fontId="0" fillId="0" borderId="68" xfId="1" applyFont="1" applyFill="1" applyBorder="1" applyAlignment="1" applyProtection="1">
      <alignment horizontal="center"/>
      <protection locked="0"/>
    </xf>
    <xf numFmtId="167" fontId="0" fillId="0" borderId="69" xfId="1" applyFont="1" applyFill="1" applyBorder="1" applyAlignment="1" applyProtection="1">
      <alignment horizontal="center"/>
      <protection locked="0"/>
    </xf>
    <xf numFmtId="0" fontId="2" fillId="0" borderId="70" xfId="0" applyFont="1" applyFill="1" applyBorder="1" applyProtection="1"/>
    <xf numFmtId="164" fontId="0" fillId="0" borderId="71" xfId="2" applyFont="1" applyFill="1" applyBorder="1" applyAlignment="1" applyProtection="1">
      <alignment horizontal="center"/>
    </xf>
    <xf numFmtId="0" fontId="0" fillId="0" borderId="70" xfId="0" applyFill="1" applyBorder="1" applyProtection="1"/>
    <xf numFmtId="167" fontId="0" fillId="0" borderId="71" xfId="1" applyFont="1" applyFill="1" applyBorder="1" applyAlignment="1" applyProtection="1">
      <protection locked="0"/>
    </xf>
    <xf numFmtId="164" fontId="0" fillId="0" borderId="71" xfId="2" applyFont="1" applyFill="1" applyBorder="1" applyAlignment="1" applyProtection="1">
      <alignment horizontal="center"/>
      <protection locked="0"/>
    </xf>
    <xf numFmtId="0" fontId="2" fillId="0" borderId="72" xfId="0" applyFont="1" applyFill="1" applyBorder="1" applyProtection="1"/>
    <xf numFmtId="167" fontId="0" fillId="0" borderId="73" xfId="1" applyFont="1" applyFill="1" applyBorder="1" applyAlignment="1" applyProtection="1">
      <alignment horizontal="center"/>
      <protection locked="0"/>
    </xf>
    <xf numFmtId="167" fontId="0" fillId="0" borderId="74" xfId="1" applyFont="1" applyFill="1" applyBorder="1" applyAlignment="1" applyProtection="1">
      <alignment horizontal="center"/>
      <protection locked="0"/>
    </xf>
    <xf numFmtId="167" fontId="0" fillId="0" borderId="71" xfId="1" applyFont="1" applyFill="1" applyBorder="1" applyAlignment="1" applyProtection="1">
      <alignment horizontal="center"/>
    </xf>
    <xf numFmtId="0" fontId="2" fillId="0" borderId="75" xfId="0" applyFont="1" applyFill="1" applyBorder="1" applyProtection="1"/>
    <xf numFmtId="167" fontId="0" fillId="0" borderId="76" xfId="1" applyFont="1" applyFill="1" applyBorder="1" applyAlignment="1" applyProtection="1">
      <protection locked="0"/>
    </xf>
    <xf numFmtId="167" fontId="0" fillId="0" borderId="77" xfId="1" applyFont="1" applyFill="1" applyBorder="1" applyAlignment="1" applyProtection="1">
      <protection locked="0"/>
    </xf>
    <xf numFmtId="167" fontId="0" fillId="0" borderId="68" xfId="1" applyFont="1" applyFill="1" applyBorder="1" applyAlignment="1" applyProtection="1">
      <protection locked="0"/>
    </xf>
    <xf numFmtId="164" fontId="0" fillId="0" borderId="76" xfId="2" applyFont="1" applyFill="1" applyBorder="1" applyAlignment="1" applyProtection="1">
      <alignment horizontal="center"/>
      <protection locked="0"/>
    </xf>
    <xf numFmtId="0" fontId="2" fillId="0" borderId="44" xfId="0" applyFont="1" applyFill="1" applyBorder="1" applyProtection="1"/>
    <xf numFmtId="164" fontId="0" fillId="0" borderId="45" xfId="2" applyFont="1" applyFill="1" applyBorder="1" applyAlignment="1" applyProtection="1">
      <protection locked="0"/>
    </xf>
    <xf numFmtId="164" fontId="0" fillId="0" borderId="68" xfId="2" applyFont="1" applyFill="1" applyBorder="1" applyAlignment="1" applyProtection="1">
      <alignment horizontal="center"/>
      <protection locked="0"/>
    </xf>
    <xf numFmtId="164" fontId="0" fillId="0" borderId="73" xfId="2" applyFont="1" applyFill="1" applyBorder="1" applyAlignment="1" applyProtection="1">
      <alignment horizontal="center"/>
      <protection locked="0"/>
    </xf>
    <xf numFmtId="164" fontId="0" fillId="0" borderId="74" xfId="2" applyFont="1" applyFill="1" applyBorder="1" applyAlignment="1" applyProtection="1">
      <alignment horizontal="center"/>
      <protection locked="0"/>
    </xf>
    <xf numFmtId="0" fontId="2" fillId="0" borderId="78" xfId="0" applyFont="1" applyFill="1" applyBorder="1" applyProtection="1"/>
    <xf numFmtId="164" fontId="0" fillId="0" borderId="79" xfId="2" applyFont="1" applyFill="1" applyBorder="1" applyAlignment="1" applyProtection="1">
      <alignment horizontal="center"/>
      <protection locked="0"/>
    </xf>
    <xf numFmtId="164" fontId="0" fillId="5" borderId="16" xfId="2" applyFont="1" applyFill="1" applyBorder="1" applyAlignment="1" applyProtection="1">
      <alignment horizontal="center"/>
      <protection locked="0"/>
    </xf>
    <xf numFmtId="164" fontId="0" fillId="5" borderId="29" xfId="2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9" fontId="0" fillId="0" borderId="22" xfId="4" applyFont="1" applyFill="1" applyBorder="1" applyAlignment="1" applyProtection="1">
      <alignment horizontal="center"/>
      <protection locked="0"/>
    </xf>
    <xf numFmtId="0" fontId="2" fillId="5" borderId="59" xfId="0" applyFont="1" applyFill="1" applyBorder="1"/>
    <xf numFmtId="0" fontId="0" fillId="5" borderId="80" xfId="0" applyFill="1" applyBorder="1"/>
    <xf numFmtId="0" fontId="0" fillId="5" borderId="62" xfId="0" applyFill="1" applyBorder="1"/>
    <xf numFmtId="9" fontId="6" fillId="5" borderId="81" xfId="4" applyFill="1" applyBorder="1"/>
    <xf numFmtId="0" fontId="0" fillId="5" borderId="64" xfId="0" applyFill="1" applyBorder="1"/>
    <xf numFmtId="9" fontId="6" fillId="5" borderId="82" xfId="4" applyFill="1" applyBorder="1"/>
    <xf numFmtId="0" fontId="2" fillId="5" borderId="59" xfId="0" applyFont="1" applyFill="1" applyBorder="1" applyAlignment="1"/>
    <xf numFmtId="0" fontId="2" fillId="5" borderId="80" xfId="0" applyFont="1" applyFill="1" applyBorder="1" applyAlignment="1"/>
    <xf numFmtId="0" fontId="0" fillId="5" borderId="62" xfId="0" applyFont="1" applyFill="1" applyBorder="1" applyAlignment="1">
      <alignment horizontal="left"/>
    </xf>
    <xf numFmtId="10" fontId="0" fillId="5" borderId="81" xfId="0" applyNumberFormat="1" applyFill="1" applyBorder="1"/>
    <xf numFmtId="0" fontId="16" fillId="8" borderId="0" xfId="0" applyFont="1" applyFill="1" applyAlignment="1">
      <alignment horizontal="center"/>
    </xf>
    <xf numFmtId="0" fontId="16" fillId="8" borderId="80" xfId="0" applyFont="1" applyFill="1" applyBorder="1" applyAlignment="1">
      <alignment horizontal="center"/>
    </xf>
    <xf numFmtId="175" fontId="6" fillId="5" borderId="81" xfId="4" applyNumberFormat="1" applyFill="1" applyBorder="1"/>
    <xf numFmtId="0" fontId="0" fillId="0" borderId="15" xfId="0" applyFill="1" applyBorder="1"/>
    <xf numFmtId="175" fontId="6" fillId="5" borderId="82" xfId="4" applyNumberFormat="1" applyFill="1" applyBorder="1"/>
    <xf numFmtId="0" fontId="0" fillId="5" borderId="62" xfId="0" applyFill="1" applyBorder="1" applyAlignment="1">
      <alignment horizontal="left"/>
    </xf>
    <xf numFmtId="165" fontId="0" fillId="5" borderId="81" xfId="4" applyNumberFormat="1" applyFont="1" applyFill="1" applyBorder="1" applyAlignment="1">
      <alignment horizontal="right"/>
    </xf>
    <xf numFmtId="10" fontId="0" fillId="0" borderId="1" xfId="4" applyNumberFormat="1" applyFont="1" applyFill="1" applyBorder="1" applyAlignment="1" applyProtection="1">
      <protection locked="0"/>
    </xf>
    <xf numFmtId="0" fontId="2" fillId="4" borderId="88" xfId="0" applyFont="1" applyFill="1" applyBorder="1" applyAlignment="1">
      <alignment horizontal="center" vertical="center"/>
    </xf>
    <xf numFmtId="0" fontId="2" fillId="4" borderId="89" xfId="0" applyFont="1" applyFill="1" applyBorder="1" applyAlignment="1">
      <alignment horizontal="center" vertical="center"/>
    </xf>
    <xf numFmtId="0" fontId="0" fillId="4" borderId="83" xfId="0" applyFill="1" applyBorder="1" applyAlignment="1">
      <alignment horizontal="center" vertical="center"/>
    </xf>
    <xf numFmtId="9" fontId="0" fillId="0" borderId="90" xfId="0" applyNumberFormat="1" applyBorder="1" applyAlignment="1">
      <alignment horizontal="center" vertical="center"/>
    </xf>
    <xf numFmtId="176" fontId="0" fillId="0" borderId="86" xfId="0" applyNumberFormat="1" applyBorder="1" applyAlignment="1">
      <alignment horizontal="center" vertical="center"/>
    </xf>
    <xf numFmtId="176" fontId="0" fillId="0" borderId="85" xfId="0" applyNumberFormat="1" applyBorder="1" applyAlignment="1">
      <alignment horizontal="center" vertical="center"/>
    </xf>
    <xf numFmtId="0" fontId="0" fillId="4" borderId="87" xfId="0" applyFill="1" applyBorder="1" applyAlignment="1">
      <alignment horizontal="center" vertical="center"/>
    </xf>
    <xf numFmtId="10" fontId="0" fillId="0" borderId="91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0" fontId="0" fillId="4" borderId="92" xfId="0" applyFill="1" applyBorder="1" applyAlignment="1">
      <alignment horizontal="center" vertical="center"/>
    </xf>
    <xf numFmtId="10" fontId="0" fillId="0" borderId="93" xfId="0" applyNumberFormat="1" applyBorder="1" applyAlignment="1">
      <alignment horizontal="center" vertical="center"/>
    </xf>
    <xf numFmtId="0" fontId="0" fillId="4" borderId="84" xfId="0" applyFill="1" applyBorder="1" applyAlignment="1">
      <alignment horizontal="center" vertical="center"/>
    </xf>
    <xf numFmtId="9" fontId="0" fillId="0" borderId="94" xfId="0" applyNumberFormat="1" applyBorder="1" applyAlignment="1">
      <alignment horizontal="center" vertical="center"/>
    </xf>
    <xf numFmtId="176" fontId="0" fillId="0" borderId="56" xfId="0" applyNumberFormat="1" applyBorder="1" applyAlignment="1">
      <alignment horizontal="center" vertical="center"/>
    </xf>
    <xf numFmtId="0" fontId="2" fillId="8" borderId="88" xfId="0" applyFont="1" applyFill="1" applyBorder="1" applyAlignment="1">
      <alignment horizontal="center" vertical="center"/>
    </xf>
    <xf numFmtId="176" fontId="2" fillId="8" borderId="95" xfId="0" applyNumberFormat="1" applyFont="1" applyFill="1" applyBorder="1" applyAlignment="1">
      <alignment horizontal="center" vertical="center"/>
    </xf>
    <xf numFmtId="176" fontId="2" fillId="8" borderId="96" xfId="0" applyNumberFormat="1" applyFont="1" applyFill="1" applyBorder="1" applyAlignment="1">
      <alignment horizontal="center" vertical="center"/>
    </xf>
    <xf numFmtId="0" fontId="0" fillId="0" borderId="28" xfId="0" applyFill="1" applyBorder="1"/>
    <xf numFmtId="0" fontId="0" fillId="0" borderId="29" xfId="0" applyFill="1" applyBorder="1"/>
    <xf numFmtId="164" fontId="0" fillId="0" borderId="29" xfId="2" applyFont="1" applyFill="1" applyBorder="1" applyAlignment="1" applyProtection="1">
      <protection locked="0"/>
    </xf>
    <xf numFmtId="164" fontId="0" fillId="0" borderId="29" xfId="2" applyFont="1" applyFill="1" applyBorder="1" applyAlignment="1" applyProtection="1"/>
    <xf numFmtId="0" fontId="2" fillId="0" borderId="80" xfId="0" applyFont="1" applyFill="1" applyBorder="1" applyAlignment="1">
      <alignment horizontal="center"/>
    </xf>
    <xf numFmtId="0" fontId="0" fillId="0" borderId="81" xfId="0" applyFill="1" applyBorder="1"/>
    <xf numFmtId="164" fontId="0" fillId="0" borderId="81" xfId="0" applyNumberFormat="1" applyFill="1" applyBorder="1"/>
    <xf numFmtId="164" fontId="0" fillId="0" borderId="82" xfId="0" applyNumberFormat="1" applyFill="1" applyBorder="1"/>
    <xf numFmtId="167" fontId="0" fillId="0" borderId="73" xfId="1" applyFont="1" applyFill="1" applyBorder="1" applyAlignment="1" applyProtection="1">
      <protection locked="0"/>
    </xf>
    <xf numFmtId="167" fontId="0" fillId="0" borderId="74" xfId="1" applyFont="1" applyFill="1" applyBorder="1" applyAlignment="1" applyProtection="1">
      <protection locked="0"/>
    </xf>
    <xf numFmtId="164" fontId="0" fillId="0" borderId="35" xfId="2" quotePrefix="1" applyFont="1" applyFill="1" applyBorder="1" applyAlignment="1" applyProtection="1">
      <alignment horizontal="center"/>
      <protection locked="0"/>
    </xf>
    <xf numFmtId="2" fontId="0" fillId="0" borderId="1" xfId="0" applyNumberFormat="1" applyFill="1" applyBorder="1" applyProtection="1">
      <protection locked="0"/>
    </xf>
    <xf numFmtId="164" fontId="0" fillId="0" borderId="0" xfId="0" applyNumberFormat="1" applyFill="1" applyProtection="1"/>
    <xf numFmtId="0" fontId="0" fillId="0" borderId="0" xfId="0" applyFill="1" applyBorder="1" applyProtection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174" fontId="0" fillId="0" borderId="50" xfId="0" applyNumberFormat="1" applyFill="1" applyBorder="1" applyProtection="1"/>
    <xf numFmtId="0" fontId="10" fillId="0" borderId="0" xfId="0" applyFont="1" applyAlignment="1">
      <alignment horizontal="right"/>
    </xf>
    <xf numFmtId="0" fontId="10" fillId="0" borderId="0" xfId="0" applyFont="1" applyFill="1" applyAlignment="1" applyProtection="1">
      <alignment horizontal="right"/>
    </xf>
    <xf numFmtId="9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9" fontId="2" fillId="0" borderId="0" xfId="0" applyNumberFormat="1" applyFont="1" applyBorder="1" applyAlignment="1">
      <alignment horizontal="center"/>
    </xf>
    <xf numFmtId="0" fontId="0" fillId="0" borderId="51" xfId="0" applyBorder="1" applyAlignment="1">
      <alignment horizontal="left" vertical="center"/>
    </xf>
    <xf numFmtId="2" fontId="0" fillId="0" borderId="52" xfId="0" applyNumberForma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left" vertical="center"/>
    </xf>
    <xf numFmtId="4" fontId="0" fillId="0" borderId="50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left" vertical="center"/>
    </xf>
    <xf numFmtId="2" fontId="0" fillId="0" borderId="57" xfId="0" applyNumberForma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9" fontId="0" fillId="5" borderId="81" xfId="0" applyNumberFormat="1" applyFill="1" applyBorder="1"/>
    <xf numFmtId="0" fontId="0" fillId="0" borderId="80" xfId="0" applyBorder="1"/>
    <xf numFmtId="0" fontId="0" fillId="0" borderId="5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" fillId="9" borderId="97" xfId="0" applyFont="1" applyFill="1" applyBorder="1" applyAlignment="1">
      <alignment horizontal="center" vertical="center"/>
    </xf>
    <xf numFmtId="0" fontId="2" fillId="9" borderId="89" xfId="0" applyFont="1" applyFill="1" applyBorder="1" applyAlignment="1">
      <alignment horizontal="center" vertical="center"/>
    </xf>
    <xf numFmtId="0" fontId="0" fillId="0" borderId="86" xfId="0" applyBorder="1" applyAlignment="1">
      <alignment horizontal="left" vertical="center"/>
    </xf>
    <xf numFmtId="9" fontId="0" fillId="0" borderId="85" xfId="4" applyFont="1" applyBorder="1" applyAlignment="1">
      <alignment horizontal="center" vertical="center"/>
    </xf>
    <xf numFmtId="0" fontId="2" fillId="9" borderId="98" xfId="0" applyFont="1" applyFill="1" applyBorder="1" applyAlignment="1">
      <alignment horizontal="center" vertical="center"/>
    </xf>
    <xf numFmtId="2" fontId="0" fillId="0" borderId="99" xfId="0" applyNumberForma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2" fontId="0" fillId="0" borderId="50" xfId="0" applyNumberFormat="1" applyBorder="1" applyAlignment="1">
      <alignment horizontal="center" vertical="center"/>
    </xf>
    <xf numFmtId="176" fontId="0" fillId="0" borderId="53" xfId="0" applyNumberFormat="1" applyBorder="1" applyAlignment="1">
      <alignment horizontal="center" vertical="center"/>
    </xf>
    <xf numFmtId="176" fontId="0" fillId="0" borderId="58" xfId="0" applyNumberForma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176" fontId="0" fillId="0" borderId="102" xfId="0" applyNumberFormat="1" applyBorder="1" applyAlignment="1">
      <alignment horizontal="center" vertical="center"/>
    </xf>
    <xf numFmtId="176" fontId="0" fillId="10" borderId="88" xfId="0" applyNumberFormat="1" applyFill="1" applyBorder="1"/>
    <xf numFmtId="0" fontId="0" fillId="10" borderId="96" xfId="0" applyFill="1" applyBorder="1"/>
    <xf numFmtId="164" fontId="0" fillId="0" borderId="88" xfId="0" applyNumberFormat="1" applyFill="1" applyBorder="1"/>
    <xf numFmtId="0" fontId="0" fillId="0" borderId="95" xfId="0" applyFill="1" applyBorder="1"/>
    <xf numFmtId="0" fontId="0" fillId="0" borderId="96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9" borderId="59" xfId="0" applyFont="1" applyFill="1" applyBorder="1" applyAlignment="1">
      <alignment horizontal="center" vertical="center"/>
    </xf>
    <xf numFmtId="0" fontId="2" fillId="9" borderId="60" xfId="0" applyFont="1" applyFill="1" applyBorder="1" applyAlignment="1">
      <alignment horizontal="center" vertical="center"/>
    </xf>
    <xf numFmtId="0" fontId="2" fillId="9" borderId="61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10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86" xfId="0" applyFill="1" applyBorder="1" applyAlignment="1">
      <alignment horizontal="center" vertical="center"/>
    </xf>
    <xf numFmtId="0" fontId="0" fillId="0" borderId="103" xfId="0" applyFill="1" applyBorder="1" applyAlignment="1">
      <alignment horizontal="center" vertical="center"/>
    </xf>
    <xf numFmtId="0" fontId="0" fillId="0" borderId="104" xfId="0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/>
    </xf>
    <xf numFmtId="0" fontId="2" fillId="0" borderId="50" xfId="0" applyFont="1" applyBorder="1" applyAlignment="1">
      <alignment horizontal="center"/>
    </xf>
    <xf numFmtId="9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0" fillId="4" borderId="50" xfId="0" applyFill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0" fillId="4" borderId="50" xfId="0" applyFill="1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2" fontId="0" fillId="0" borderId="49" xfId="0" applyNumberFormat="1" applyBorder="1" applyAlignment="1">
      <alignment horizontal="center"/>
    </xf>
    <xf numFmtId="2" fontId="0" fillId="0" borderId="0" xfId="0" applyNumberFormat="1" applyAlignment="1">
      <alignment horizontal="center" wrapText="1"/>
    </xf>
  </cellXfs>
  <cellStyles count="6">
    <cellStyle name="Hipervínculo" xfId="5" builtinId="8"/>
    <cellStyle name="Millares" xfId="1" builtinId="3"/>
    <cellStyle name="Moneda" xfId="2" builtinId="4"/>
    <cellStyle name="Normal" xfId="0" builtinId="0"/>
    <cellStyle name="Normal 2" xfId="3"/>
    <cellStyle name="Porcentual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/>
      <c:scatterChart>
        <c:scatterStyle val="lineMarker"/>
        <c:ser>
          <c:idx val="0"/>
          <c:order val="0"/>
          <c:tx>
            <c:v>Constante</c:v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'punto de equilibrio'!$D$13:$E$13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equilibrio'!$D$14:$E$14</c:f>
              <c:numCache>
                <c:formatCode>[$$-2C0A]#,##0</c:formatCode>
                <c:ptCount val="2"/>
                <c:pt idx="0">
                  <c:v>5123677.278351712</c:v>
                </c:pt>
                <c:pt idx="1">
                  <c:v>5123677.278351712</c:v>
                </c:pt>
              </c:numCache>
            </c:numRef>
          </c:yVal>
        </c:ser>
        <c:ser>
          <c:idx val="1"/>
          <c:order val="1"/>
          <c:tx>
            <c:v>Total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'punto de equilibrio'!$D$13:$E$13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equilibrio'!$D$15:$E$15</c:f>
              <c:numCache>
                <c:formatCode>[$$-2C0A]#,##0</c:formatCode>
                <c:ptCount val="2"/>
                <c:pt idx="0">
                  <c:v>5123677.278351712</c:v>
                </c:pt>
                <c:pt idx="1">
                  <c:v>17008553.269847747</c:v>
                </c:pt>
              </c:numCache>
            </c:numRef>
          </c:yVal>
        </c:ser>
        <c:ser>
          <c:idx val="2"/>
          <c:order val="2"/>
          <c:tx>
            <c:v>Ingreso</c:v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'punto de equilibrio'!$D$13:$E$13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equilibrio'!$D$16:$E$16</c:f>
              <c:numCache>
                <c:formatCode>[$$-2C0A]#,##0</c:formatCode>
                <c:ptCount val="2"/>
                <c:pt idx="0">
                  <c:v>0</c:v>
                </c:pt>
                <c:pt idx="1">
                  <c:v>29246608.695652176</c:v>
                </c:pt>
              </c:numCache>
            </c:numRef>
          </c:yVal>
        </c:ser>
        <c:axId val="72758016"/>
        <c:axId val="72759936"/>
      </c:scatterChart>
      <c:valAx>
        <c:axId val="72758016"/>
        <c:scaling>
          <c:orientation val="minMax"/>
          <c:max val="1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2759936"/>
        <c:crosses val="autoZero"/>
        <c:crossBetween val="midCat"/>
      </c:valAx>
      <c:valAx>
        <c:axId val="727599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C0A]#,##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2758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/>
      <c:scatterChart>
        <c:scatterStyle val="lineMarker"/>
        <c:ser>
          <c:idx val="0"/>
          <c:order val="0"/>
          <c:tx>
            <c:v>Constante</c:v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'punto de equilibrio'!$M$13:$N$13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equilibrio'!$M$14:$N$14</c:f>
              <c:numCache>
                <c:formatCode>[$$-2C0A]#,##0</c:formatCode>
                <c:ptCount val="2"/>
                <c:pt idx="0">
                  <c:v>5299219.4276265688</c:v>
                </c:pt>
                <c:pt idx="1">
                  <c:v>5299219.4276265688</c:v>
                </c:pt>
              </c:numCache>
            </c:numRef>
          </c:yVal>
        </c:ser>
        <c:ser>
          <c:idx val="1"/>
          <c:order val="1"/>
          <c:tx>
            <c:v>Total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'punto de equilibrio'!$M$13:$N$13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equilibrio'!$M$15:$N$15</c:f>
              <c:numCache>
                <c:formatCode>[$$-2C0A]#,##0</c:formatCode>
                <c:ptCount val="2"/>
                <c:pt idx="0">
                  <c:v>5299219.4276265688</c:v>
                </c:pt>
                <c:pt idx="1">
                  <c:v>18270101.359473117</c:v>
                </c:pt>
              </c:numCache>
            </c:numRef>
          </c:yVal>
        </c:ser>
        <c:ser>
          <c:idx val="2"/>
          <c:order val="2"/>
          <c:tx>
            <c:v>Ingresos</c:v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'punto de equilibrio'!$M$13:$N$13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equilibrio'!$M$16:$N$16</c:f>
              <c:numCache>
                <c:formatCode>[$$-2C0A]#,##0</c:formatCode>
                <c:ptCount val="2"/>
                <c:pt idx="0">
                  <c:v>0</c:v>
                </c:pt>
                <c:pt idx="1">
                  <c:v>33600000</c:v>
                </c:pt>
              </c:numCache>
            </c:numRef>
          </c:yVal>
        </c:ser>
        <c:axId val="72792704"/>
        <c:axId val="72794880"/>
      </c:scatterChart>
      <c:valAx>
        <c:axId val="72792704"/>
        <c:scaling>
          <c:orientation val="minMax"/>
          <c:max val="1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2794880"/>
        <c:crosses val="autoZero"/>
        <c:crossBetween val="midCat"/>
      </c:valAx>
      <c:valAx>
        <c:axId val="72794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C0A]#,##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2792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/>
      <c:scatterChart>
        <c:scatterStyle val="lineMarker"/>
        <c:ser>
          <c:idx val="0"/>
          <c:order val="0"/>
          <c:tx>
            <c:v>Constante</c:v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'F-2 Estructura'!$B$50:$C$50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'F-2 Estructura'!$B$51:$C$51</c:f>
              <c:numCache>
                <c:formatCode>[$$-2C0A]#,##0</c:formatCode>
                <c:ptCount val="2"/>
                <c:pt idx="0">
                  <c:v>6390981.6033517122</c:v>
                </c:pt>
                <c:pt idx="1">
                  <c:v>6390981.6033517122</c:v>
                </c:pt>
              </c:numCache>
            </c:numRef>
          </c:yVal>
        </c:ser>
        <c:ser>
          <c:idx val="1"/>
          <c:order val="1"/>
          <c:tx>
            <c:v>Variable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'F-2 Estructura'!$B$50:$C$50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'F-2 Estructura'!$B$52:$C$52</c:f>
              <c:numCache>
                <c:formatCode>[$$-2C0A]#,##0</c:formatCode>
                <c:ptCount val="2"/>
                <c:pt idx="0">
                  <c:v>6390981.6033517122</c:v>
                </c:pt>
                <c:pt idx="1">
                  <c:v>18275857.594847746</c:v>
                </c:pt>
              </c:numCache>
            </c:numRef>
          </c:yVal>
        </c:ser>
        <c:ser>
          <c:idx val="2"/>
          <c:order val="2"/>
          <c:tx>
            <c:v>Ingreso</c:v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'F-2 Estructura'!$B$50:$C$50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'F-2 Estructura'!$B$53:$C$53</c:f>
              <c:numCache>
                <c:formatCode>[$$-2C0A]#,##0</c:formatCode>
                <c:ptCount val="2"/>
                <c:pt idx="0">
                  <c:v>0</c:v>
                </c:pt>
                <c:pt idx="1">
                  <c:v>29246608.695652176</c:v>
                </c:pt>
              </c:numCache>
            </c:numRef>
          </c:yVal>
        </c:ser>
        <c:axId val="73462912"/>
        <c:axId val="73464832"/>
      </c:scatterChart>
      <c:valAx>
        <c:axId val="73462912"/>
        <c:scaling>
          <c:orientation val="minMax"/>
          <c:max val="1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3464832"/>
        <c:crosses val="autoZero"/>
        <c:crossBetween val="midCat"/>
      </c:valAx>
      <c:valAx>
        <c:axId val="734648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C0A]#,##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3462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/>
      <c:scatterChart>
        <c:scatterStyle val="lineMarker"/>
        <c:ser>
          <c:idx val="0"/>
          <c:order val="0"/>
          <c:tx>
            <c:v>Constante</c:v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'F-2 Estructura'!$G$50:$H$50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'F-2 Estructura'!$G$51:$H$51</c:f>
              <c:numCache>
                <c:formatCode>[$$-2C0A]\ #,##0</c:formatCode>
                <c:ptCount val="2"/>
                <c:pt idx="0">
                  <c:v>5576313.5609599017</c:v>
                </c:pt>
                <c:pt idx="1">
                  <c:v>5576313.5609599017</c:v>
                </c:pt>
              </c:numCache>
            </c:numRef>
          </c:yVal>
        </c:ser>
        <c:ser>
          <c:idx val="1"/>
          <c:order val="1"/>
          <c:tx>
            <c:v>Variable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'F-2 Estructura'!$G$50:$H$50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'F-2 Estructura'!$G$52:$H$52</c:f>
              <c:numCache>
                <c:formatCode>[$$-2C0A]\ #,##0</c:formatCode>
                <c:ptCount val="2"/>
                <c:pt idx="0">
                  <c:v>5576313.5609599017</c:v>
                </c:pt>
                <c:pt idx="1">
                  <c:v>18547195.49280645</c:v>
                </c:pt>
              </c:numCache>
            </c:numRef>
          </c:yVal>
        </c:ser>
        <c:ser>
          <c:idx val="2"/>
          <c:order val="2"/>
          <c:tx>
            <c:v>Ingreso</c:v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'F-2 Estructura'!$G$50:$H$50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'F-2 Estructura'!$G$53:$H$53</c:f>
              <c:numCache>
                <c:formatCode>[$$-2C0A]\ #,##0</c:formatCode>
                <c:ptCount val="2"/>
                <c:pt idx="0">
                  <c:v>0</c:v>
                </c:pt>
                <c:pt idx="1">
                  <c:v>33600000</c:v>
                </c:pt>
              </c:numCache>
            </c:numRef>
          </c:yVal>
        </c:ser>
        <c:axId val="73497600"/>
        <c:axId val="73503872"/>
      </c:scatterChart>
      <c:valAx>
        <c:axId val="73497600"/>
        <c:scaling>
          <c:orientation val="minMax"/>
          <c:max val="1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3503872"/>
        <c:crosses val="autoZero"/>
        <c:crossBetween val="midCat"/>
      </c:valAx>
      <c:valAx>
        <c:axId val="735038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C0A]\ #,##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73497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133350</xdr:rowOff>
    </xdr:from>
    <xdr:to>
      <xdr:col>8</xdr:col>
      <xdr:colOff>400049</xdr:colOff>
      <xdr:row>41</xdr:row>
      <xdr:rowOff>61912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4761</xdr:colOff>
      <xdr:row>18</xdr:row>
      <xdr:rowOff>119062</xdr:rowOff>
    </xdr:from>
    <xdr:to>
      <xdr:col>17</xdr:col>
      <xdr:colOff>638175</xdr:colOff>
      <xdr:row>40</xdr:row>
      <xdr:rowOff>152400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54</xdr:row>
      <xdr:rowOff>138112</xdr:rowOff>
    </xdr:from>
    <xdr:to>
      <xdr:col>3</xdr:col>
      <xdr:colOff>400050</xdr:colOff>
      <xdr:row>71</xdr:row>
      <xdr:rowOff>128587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347662</xdr:colOff>
      <xdr:row>54</xdr:row>
      <xdr:rowOff>128587</xdr:rowOff>
    </xdr:from>
    <xdr:to>
      <xdr:col>8</xdr:col>
      <xdr:colOff>852487</xdr:colOff>
      <xdr:row>71</xdr:row>
      <xdr:rowOff>119062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val%20proyectos/eval%20proyectos/Dim%20economico%20%20grupo%208%20fin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InfoInicial"/>
      <sheetName val="E-Inv AF y Am"/>
      <sheetName val="E-Costos"/>
      <sheetName val="punto de equilibrio"/>
      <sheetName val="E-InvAT"/>
      <sheetName val="E-Cal Inv."/>
      <sheetName val="E-IVA "/>
      <sheetName val="E-Form"/>
      <sheetName val="Consumo MP"/>
      <sheetName val="Cuadro resumen"/>
      <sheetName val="Stocks Mp"/>
      <sheetName val="Salarios"/>
      <sheetName val="Bienes de uso"/>
      <sheetName val="gastos materiales"/>
    </sheetNames>
    <sheetDataSet>
      <sheetData sheetId="0"/>
      <sheetData sheetId="1"/>
      <sheetData sheetId="2"/>
      <sheetData sheetId="3">
        <row r="7">
          <cell r="C7">
            <v>9989480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hyperlink" Target="http://articulo.mercadolibre.com.ar/MLA-627806499-torno-mecanico-paralelo-para-metales-500mm-motor-34hp-nuevo-_JM" TargetMode="External"/><Relationship Id="rId13" Type="http://schemas.openxmlformats.org/officeDocument/2006/relationships/hyperlink" Target="http://articulo.mercadolibre.com.ar/MLA-630258231-prensa-hidraulica-250-toneladas-_JM" TargetMode="External"/><Relationship Id="rId18" Type="http://schemas.openxmlformats.org/officeDocument/2006/relationships/hyperlink" Target="http://articulo.mercadolibre.com.ar/MLA-616096275-pc-computadora-escritorio-oficina-intel-modelo-bt-superior-_JM" TargetMode="External"/><Relationship Id="rId3" Type="http://schemas.openxmlformats.org/officeDocument/2006/relationships/hyperlink" Target="http://articulo.mercadolibre.com.ar/MLA-631415033-arenadora-granalladora-cabina-doble-_JM" TargetMode="External"/><Relationship Id="rId7" Type="http://schemas.openxmlformats.org/officeDocument/2006/relationships/hyperlink" Target="http://articulo.mercadolibre.com.ar/MLA-630564783-guillotina-cizalla-chapa-trapezoidal-y-acanalada-excelente-_JM" TargetMode="External"/><Relationship Id="rId12" Type="http://schemas.openxmlformats.org/officeDocument/2006/relationships/hyperlink" Target="http://articulo.mercadolibre.com.ar/MLA-618310311-amoladora-black-and-decker-modelo-g720n-820-watts-87-685-_JM" TargetMode="External"/><Relationship Id="rId17" Type="http://schemas.openxmlformats.org/officeDocument/2006/relationships/hyperlink" Target="http://articulo.mercadolibre.com.ar/MLA-627618606-dispenser-de-agua-frio-calor-para-bidon-_JM" TargetMode="External"/><Relationship Id="rId2" Type="http://schemas.openxmlformats.org/officeDocument/2006/relationships/hyperlink" Target="http://articulo.mercadolibre.com.ar/MLA-603488636-prueba-hidraulica-para-matafuegos-y-cilindros-melisam-_JM" TargetMode="External"/><Relationship Id="rId16" Type="http://schemas.openxmlformats.org/officeDocument/2006/relationships/hyperlink" Target="http://articulo.mercadolibre.com.ar/MLA-616705132-escritorios-mesa-de-pc-escritorio-diseno-oficina-notebooks-_JM" TargetMode="External"/><Relationship Id="rId1" Type="http://schemas.openxmlformats.org/officeDocument/2006/relationships/hyperlink" Target="http://articulo.mercadolibre.com.ar/MLA-605409132-taladro-perforador-de-pie-16mm-12-hp-lusqtoff-rex-_JM" TargetMode="External"/><Relationship Id="rId6" Type="http://schemas.openxmlformats.org/officeDocument/2006/relationships/hyperlink" Target="http://articulo.mercadolibre.com.ar/MLA-609840826-compresor-de-aire-100-lts-4-hp-bicilindrico-lusqtoff-monofa-_JM" TargetMode="External"/><Relationship Id="rId11" Type="http://schemas.openxmlformats.org/officeDocument/2006/relationships/hyperlink" Target="http://articulo.mercadolibre.com.ar/MLA-616271365-cilindradora-motorizada-marca-wisdom-er-2030-_JM" TargetMode="External"/><Relationship Id="rId5" Type="http://schemas.openxmlformats.org/officeDocument/2006/relationships/hyperlink" Target="http://articulo.mercadolibre.com.ar/MLA-633309405-sierra-a-sin-fin-pmetal-maroni-cavance-automatico-_JM" TargetMode="External"/><Relationship Id="rId15" Type="http://schemas.openxmlformats.org/officeDocument/2006/relationships/hyperlink" Target="http://articulo.mercadolibre.com.ar/MLA-633821809-permuto-vendo-horno-secado-madera-pintura-polvo-y-maquinas-_JM" TargetMode="External"/><Relationship Id="rId10" Type="http://schemas.openxmlformats.org/officeDocument/2006/relationships/hyperlink" Target="http://articulo.mercadolibre.com.ar/MLA-613311461-soldadora-inverter-tig-dual-dc-mma-lusqtoff-_JM" TargetMode="External"/><Relationship Id="rId19" Type="http://schemas.openxmlformats.org/officeDocument/2006/relationships/printerSettings" Target="../printerSettings/printerSettings10.bin"/><Relationship Id="rId4" Type="http://schemas.openxmlformats.org/officeDocument/2006/relationships/hyperlink" Target="http://articulo.mercadolibre.com.ar/MLA-631365256-balancin-con-retardo-60-toneladas-_JM" TargetMode="External"/><Relationship Id="rId9" Type="http://schemas.openxmlformats.org/officeDocument/2006/relationships/hyperlink" Target="https://spanish.alibaba.com/g/sink-longitudinal-seam-welding-machine-price.html" TargetMode="External"/><Relationship Id="rId14" Type="http://schemas.openxmlformats.org/officeDocument/2006/relationships/hyperlink" Target="http://articulo.mercadolibre.com.ar/MLA-634646603-bombito-hojalatero-_J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2"/>
  <sheetViews>
    <sheetView topLeftCell="A5" workbookViewId="0">
      <selection activeCell="A22" sqref="A22"/>
    </sheetView>
  </sheetViews>
  <sheetFormatPr baseColWidth="10" defaultRowHeight="12.75"/>
  <cols>
    <col min="1" max="1" width="38.85546875" customWidth="1"/>
    <col min="2" max="2" width="31" customWidth="1"/>
  </cols>
  <sheetData>
    <row r="1" spans="1:2" ht="13.5" thickBot="1">
      <c r="A1" s="391" t="s">
        <v>560</v>
      </c>
      <c r="B1" s="392" t="s">
        <v>561</v>
      </c>
    </row>
    <row r="2" spans="1:2">
      <c r="A2" s="387" t="s">
        <v>45</v>
      </c>
      <c r="B2" s="388"/>
    </row>
    <row r="3" spans="1:2">
      <c r="A3" s="389" t="s">
        <v>562</v>
      </c>
      <c r="B3" s="393">
        <v>2.5000000000000001E-2</v>
      </c>
    </row>
    <row r="4" spans="1:2" ht="13.5" thickBot="1">
      <c r="A4" s="396" t="s">
        <v>566</v>
      </c>
      <c r="B4" s="397">
        <v>750</v>
      </c>
    </row>
    <row r="5" spans="1:2">
      <c r="A5" s="387" t="s">
        <v>87</v>
      </c>
      <c r="B5" s="388"/>
    </row>
    <row r="6" spans="1:2">
      <c r="A6" s="389" t="s">
        <v>555</v>
      </c>
      <c r="B6" s="390">
        <v>0.95</v>
      </c>
    </row>
    <row r="7" spans="1:2">
      <c r="A7" s="389" t="s">
        <v>556</v>
      </c>
      <c r="B7" s="384">
        <v>0.9</v>
      </c>
    </row>
    <row r="8" spans="1:2">
      <c r="A8" s="389" t="s">
        <v>557</v>
      </c>
      <c r="B8" s="384">
        <v>0.9</v>
      </c>
    </row>
    <row r="9" spans="1:2">
      <c r="A9" s="389" t="s">
        <v>558</v>
      </c>
      <c r="B9" s="384">
        <v>0.95</v>
      </c>
    </row>
    <row r="10" spans="1:2" ht="13.5" thickBot="1">
      <c r="A10" s="385" t="s">
        <v>559</v>
      </c>
      <c r="B10" s="386">
        <v>0.95</v>
      </c>
    </row>
    <row r="11" spans="1:2">
      <c r="A11" s="387" t="s">
        <v>163</v>
      </c>
      <c r="B11" s="388"/>
    </row>
    <row r="12" spans="1:2">
      <c r="A12" s="383" t="s">
        <v>563</v>
      </c>
      <c r="B12" s="384">
        <v>0.8</v>
      </c>
    </row>
    <row r="13" spans="1:2">
      <c r="A13" s="383" t="s">
        <v>564</v>
      </c>
      <c r="B13" s="384">
        <v>0.02</v>
      </c>
    </row>
    <row r="14" spans="1:2" ht="13.5" thickBot="1">
      <c r="A14" s="385" t="s">
        <v>565</v>
      </c>
      <c r="B14" s="386">
        <v>0.8</v>
      </c>
    </row>
    <row r="15" spans="1:2">
      <c r="A15" s="381" t="s">
        <v>552</v>
      </c>
      <c r="B15" s="382"/>
    </row>
    <row r="16" spans="1:2">
      <c r="A16" s="383" t="s">
        <v>553</v>
      </c>
      <c r="B16" s="384">
        <v>0.25</v>
      </c>
    </row>
    <row r="17" spans="1:2" ht="13.5" thickBot="1">
      <c r="A17" s="385" t="s">
        <v>554</v>
      </c>
      <c r="B17" s="386">
        <v>0.02</v>
      </c>
    </row>
    <row r="18" spans="1:2">
      <c r="A18" s="387" t="s">
        <v>97</v>
      </c>
      <c r="B18" s="382"/>
    </row>
    <row r="19" spans="1:2" ht="13.5" thickBot="1">
      <c r="A19" s="385" t="s">
        <v>83</v>
      </c>
      <c r="B19" s="395">
        <v>1.6E-2</v>
      </c>
    </row>
    <row r="20" spans="1:2">
      <c r="A20" s="387" t="s">
        <v>581</v>
      </c>
      <c r="B20" s="452"/>
    </row>
    <row r="21" spans="1:2">
      <c r="A21" s="383" t="s">
        <v>578</v>
      </c>
      <c r="B21" s="451">
        <v>0.5</v>
      </c>
    </row>
    <row r="22" spans="1:2" ht="13.5" thickBot="1">
      <c r="A22" s="385" t="s">
        <v>580</v>
      </c>
      <c r="B22" s="386">
        <v>0.01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opLeftCell="A3" workbookViewId="0">
      <selection activeCell="B26" sqref="B26"/>
    </sheetView>
  </sheetViews>
  <sheetFormatPr baseColWidth="10" defaultColWidth="11.42578125" defaultRowHeight="12.75"/>
  <cols>
    <col min="1" max="1" width="28.140625" style="14" customWidth="1"/>
    <col min="2" max="7" width="15.7109375" style="14" customWidth="1"/>
    <col min="8" max="8" width="17.42578125" style="14" customWidth="1"/>
    <col min="9" max="16384" width="11.42578125" style="14"/>
  </cols>
  <sheetData>
    <row r="1" spans="1:7">
      <c r="A1" s="1" t="s">
        <v>0</v>
      </c>
      <c r="B1"/>
      <c r="C1"/>
      <c r="D1"/>
      <c r="G1" s="2">
        <f>InfoInicial!E1</f>
        <v>0</v>
      </c>
    </row>
    <row r="2" spans="1:7" ht="15.75">
      <c r="A2" s="112" t="s">
        <v>212</v>
      </c>
      <c r="B2" s="54"/>
      <c r="C2" s="54"/>
      <c r="D2" s="54"/>
      <c r="E2" s="54"/>
      <c r="F2" s="54"/>
      <c r="G2" s="55"/>
    </row>
    <row r="3" spans="1:7" ht="15.75">
      <c r="A3" s="113"/>
      <c r="B3" s="114" t="s">
        <v>213</v>
      </c>
      <c r="C3" s="114"/>
      <c r="D3" s="114"/>
      <c r="E3" s="114"/>
      <c r="F3" s="114"/>
      <c r="G3" s="115"/>
    </row>
    <row r="4" spans="1:7">
      <c r="A4" s="116" t="s">
        <v>89</v>
      </c>
      <c r="B4" s="105" t="s">
        <v>48</v>
      </c>
      <c r="C4" s="17" t="s">
        <v>49</v>
      </c>
      <c r="D4" s="17" t="s">
        <v>90</v>
      </c>
      <c r="E4" s="17" t="s">
        <v>91</v>
      </c>
      <c r="F4" s="17" t="s">
        <v>92</v>
      </c>
      <c r="G4" s="18" t="s">
        <v>93</v>
      </c>
    </row>
    <row r="5" spans="1:7">
      <c r="A5" s="117" t="s">
        <v>214</v>
      </c>
      <c r="B5" s="118"/>
      <c r="C5" s="101"/>
      <c r="D5" s="101"/>
      <c r="E5" s="101"/>
      <c r="F5" s="101"/>
      <c r="G5" s="102"/>
    </row>
    <row r="6" spans="1:7">
      <c r="A6" s="119" t="s">
        <v>215</v>
      </c>
      <c r="B6" s="120"/>
      <c r="C6" s="59">
        <f>0.21*'E-Costos'!B7</f>
        <v>1915374.2086956524</v>
      </c>
      <c r="D6" s="59">
        <f>0.21*'E-Costos'!C7</f>
        <v>2097790.7999999998</v>
      </c>
      <c r="E6" s="59">
        <f>0.21*'E-Costos'!D7</f>
        <v>2097790.7999999998</v>
      </c>
      <c r="F6" s="59">
        <f>0.21*'E-Costos'!E7</f>
        <v>2097790.7999999998</v>
      </c>
      <c r="G6" s="59">
        <f>0.21*'E-Costos'!F7</f>
        <v>2097790.7999999998</v>
      </c>
    </row>
    <row r="7" spans="1:7">
      <c r="A7" s="119" t="s">
        <v>99</v>
      </c>
      <c r="B7" s="120"/>
      <c r="C7" s="59">
        <f>0.21*'E-Costos'!B12</f>
        <v>92497.814057934782</v>
      </c>
      <c r="D7" s="59">
        <f>0.21*'E-Costos'!C12</f>
        <v>95404.162927500001</v>
      </c>
      <c r="E7" s="59">
        <f>0.21*'E-Costos'!D12</f>
        <v>95404.162927500001</v>
      </c>
      <c r="F7" s="59">
        <f>0.21*'E-Costos'!E12</f>
        <v>95404.162927500001</v>
      </c>
      <c r="G7" s="59">
        <f>0.21*'E-Costos'!F12</f>
        <v>95404.162927500001</v>
      </c>
    </row>
    <row r="8" spans="1:7">
      <c r="A8" s="119" t="s">
        <v>100</v>
      </c>
      <c r="B8" s="120"/>
      <c r="C8" s="59">
        <f>0.21*'E-Costos'!B13</f>
        <v>1588.184804347826</v>
      </c>
      <c r="D8" s="59">
        <f>0.21*'E-Costos'!C13</f>
        <v>1671.7734782608695</v>
      </c>
      <c r="E8" s="59">
        <f>0.21*'E-Costos'!D13</f>
        <v>1671.7734782608695</v>
      </c>
      <c r="F8" s="59">
        <f>0.21*'E-Costos'!E13</f>
        <v>1671.7734782608695</v>
      </c>
      <c r="G8" s="59">
        <f>0.21*'E-Costos'!F13</f>
        <v>1671.7734782608695</v>
      </c>
    </row>
    <row r="9" spans="1:7">
      <c r="A9" s="119" t="s">
        <v>101</v>
      </c>
      <c r="B9" s="120"/>
      <c r="C9" s="59">
        <f>0.21*'E-Costos'!B14</f>
        <v>0</v>
      </c>
      <c r="D9" s="59">
        <f>0.21*'E-Costos'!C14</f>
        <v>0</v>
      </c>
      <c r="E9" s="59">
        <f>0.21*'E-Costos'!D14</f>
        <v>0</v>
      </c>
      <c r="F9" s="59">
        <f>0.21*'E-Costos'!E14</f>
        <v>0</v>
      </c>
      <c r="G9" s="59">
        <f>0.21*'E-Costos'!F14</f>
        <v>0</v>
      </c>
    </row>
    <row r="10" spans="1:7">
      <c r="A10" s="119" t="s">
        <v>216</v>
      </c>
      <c r="B10" s="120"/>
      <c r="C10" s="59"/>
      <c r="D10" s="59"/>
      <c r="E10" s="59"/>
      <c r="F10" s="59"/>
      <c r="G10" s="60"/>
    </row>
    <row r="11" spans="1:7">
      <c r="A11" s="119" t="s">
        <v>125</v>
      </c>
      <c r="B11" s="120"/>
      <c r="C11" s="59">
        <f>0.21*'E-Costos'!B56</f>
        <v>10500</v>
      </c>
      <c r="D11" s="59">
        <f>0.21*'E-Costos'!C56</f>
        <v>10500</v>
      </c>
      <c r="E11" s="59">
        <f>0.21*'E-Costos'!D56</f>
        <v>10500</v>
      </c>
      <c r="F11" s="59">
        <f>0.21*'E-Costos'!E56</f>
        <v>10500</v>
      </c>
      <c r="G11" s="59">
        <f>0.21*'E-Costos'!F56</f>
        <v>10500</v>
      </c>
    </row>
    <row r="12" spans="1:7">
      <c r="A12" s="121" t="s">
        <v>84</v>
      </c>
      <c r="B12" s="120"/>
      <c r="C12" s="59">
        <f>SUM(C6:C11)</f>
        <v>2019960.207557935</v>
      </c>
      <c r="D12" s="59">
        <f>SUM(D6:D11)</f>
        <v>2205366.7364057605</v>
      </c>
      <c r="E12" s="59">
        <f>SUM(E6:E11)</f>
        <v>2205366.7364057605</v>
      </c>
      <c r="F12" s="59">
        <f>SUM(F6:F11)</f>
        <v>2205366.7364057605</v>
      </c>
      <c r="G12" s="59">
        <f>SUM(G6:G11)</f>
        <v>2205366.7364057605</v>
      </c>
    </row>
    <row r="13" spans="1:7">
      <c r="A13" s="119" t="s">
        <v>217</v>
      </c>
      <c r="B13" s="120"/>
      <c r="C13" s="59">
        <f>0.21*'E-Inv AF y Am'!C26</f>
        <v>0</v>
      </c>
      <c r="D13" s="59"/>
      <c r="E13" s="59"/>
      <c r="F13" s="59"/>
      <c r="G13" s="60"/>
    </row>
    <row r="14" spans="1:7">
      <c r="A14" s="119" t="s">
        <v>218</v>
      </c>
      <c r="B14" s="122"/>
      <c r="C14" s="80"/>
      <c r="D14" s="80"/>
      <c r="E14" s="80"/>
      <c r="F14" s="80"/>
      <c r="G14" s="81"/>
    </row>
    <row r="15" spans="1:7">
      <c r="A15" s="119" t="s">
        <v>219</v>
      </c>
      <c r="B15" s="120">
        <f>'E-InvAT'!B32</f>
        <v>0</v>
      </c>
      <c r="C15" s="120">
        <f>'E-InvAT'!C32</f>
        <v>31928.476405040838</v>
      </c>
      <c r="D15" s="120">
        <f>'E-InvAT'!D32</f>
        <v>-741.91232233019866</v>
      </c>
      <c r="E15" s="120">
        <f>'E-InvAT'!E32</f>
        <v>0</v>
      </c>
      <c r="F15" s="120">
        <f>'E-InvAT'!F32</f>
        <v>-28.494863953916646</v>
      </c>
      <c r="G15" s="120">
        <f>'E-InvAT'!G32</f>
        <v>0</v>
      </c>
    </row>
    <row r="16" spans="1:7">
      <c r="A16" s="119" t="s">
        <v>220</v>
      </c>
      <c r="B16" s="120">
        <f>'E-InvAT'!B33</f>
        <v>0</v>
      </c>
      <c r="C16" s="120">
        <f>'E-InvAT'!C33</f>
        <v>70560</v>
      </c>
      <c r="D16" s="120">
        <f>'E-InvAT'!D33</f>
        <v>-70560</v>
      </c>
      <c r="E16" s="120">
        <f>'E-InvAT'!E33</f>
        <v>0</v>
      </c>
      <c r="F16" s="120">
        <f>'E-InvAT'!F33</f>
        <v>0</v>
      </c>
      <c r="G16" s="120">
        <f>'E-InvAT'!G33</f>
        <v>0</v>
      </c>
    </row>
    <row r="17" spans="1:7">
      <c r="A17" s="121" t="s">
        <v>221</v>
      </c>
      <c r="B17" s="120"/>
      <c r="C17" s="59">
        <f>C12-(C15+C16)</f>
        <v>1917471.7311528942</v>
      </c>
      <c r="D17" s="59">
        <f>D12-(D15+D16)</f>
        <v>2276668.6487280908</v>
      </c>
      <c r="E17" s="59">
        <f>E12-(E15+E16)</f>
        <v>2205366.7364057605</v>
      </c>
      <c r="F17" s="59">
        <f>F12-(F15+F16)</f>
        <v>2205395.2312697144</v>
      </c>
      <c r="G17" s="59">
        <f>G12-(G15+G16)</f>
        <v>2205366.7364057605</v>
      </c>
    </row>
    <row r="18" spans="1:7">
      <c r="A18" s="121" t="s">
        <v>222</v>
      </c>
      <c r="B18" s="120"/>
      <c r="C18" s="59">
        <f>0.21*(+'E-Costos'!B53+'E-Costos'!B54+'E-Costos'!B55+'E-Costos'!B56)</f>
        <v>41270.507300745718</v>
      </c>
      <c r="D18" s="59">
        <f>0.21*(+'E-Costos'!C53+'E-Costos'!C54+'E-Costos'!C55+'E-Costos'!C56)</f>
        <v>44689.452556384131</v>
      </c>
      <c r="E18" s="59">
        <f>0.21*(+'E-Costos'!D53+'E-Costos'!D54+'E-Costos'!D55+'E-Costos'!D56)</f>
        <v>44689.452556384131</v>
      </c>
      <c r="F18" s="59">
        <f>0.21*(+'E-Costos'!E53+'E-Costos'!E54+'E-Costos'!E55+'E-Costos'!E56)</f>
        <v>44689.452556384131</v>
      </c>
      <c r="G18" s="59">
        <f>0.21*(+'E-Costos'!F53+'E-Costos'!F54+'E-Costos'!F55+'E-Costos'!F56)</f>
        <v>44689.452556384131</v>
      </c>
    </row>
    <row r="19" spans="1:7">
      <c r="A19" s="121" t="s">
        <v>223</v>
      </c>
      <c r="B19" s="120"/>
      <c r="C19" s="59">
        <f>0.21*('E-Costos'!B70+'E-Costos'!B71+'E-Costos'!B72+'E-Costos'!B73)</f>
        <v>76171.881187645908</v>
      </c>
      <c r="D19" s="59">
        <f>0.21*('E-Costos'!C70+'E-Costos'!C71+'E-Costos'!C72+'E-Costos'!C73)</f>
        <v>78565.419215534741</v>
      </c>
      <c r="E19" s="59">
        <f>0.21*('E-Costos'!D70+'E-Costos'!D71+'E-Costos'!D72+'E-Costos'!D73)</f>
        <v>78565.419215534741</v>
      </c>
      <c r="F19" s="59">
        <f>0.21*('E-Costos'!E70+'E-Costos'!E71+'E-Costos'!E72+'E-Costos'!E73)</f>
        <v>78531.56731715746</v>
      </c>
      <c r="G19" s="59">
        <f>0.21*('E-Costos'!F70+'E-Costos'!F71+'E-Costos'!F72+'E-Costos'!F73)</f>
        <v>78531.56731715746</v>
      </c>
    </row>
    <row r="20" spans="1:7">
      <c r="A20" s="121"/>
      <c r="B20" s="122"/>
      <c r="C20" s="80"/>
      <c r="D20" s="80"/>
      <c r="E20" s="80"/>
      <c r="F20" s="80"/>
      <c r="G20" s="81"/>
    </row>
    <row r="21" spans="1:7">
      <c r="A21" s="119" t="s">
        <v>224</v>
      </c>
      <c r="B21" s="120"/>
      <c r="C21" s="59">
        <f>SUM(C17:C19)</f>
        <v>2034914.1196412859</v>
      </c>
      <c r="D21" s="59">
        <f>SUM(D17:D19)</f>
        <v>2399923.5205000099</v>
      </c>
      <c r="E21" s="59">
        <f>SUM(E17:E19)</f>
        <v>2328621.6081776796</v>
      </c>
      <c r="F21" s="59">
        <f>SUM(F17:F19)</f>
        <v>2328616.2511432562</v>
      </c>
      <c r="G21" s="59">
        <f>SUM(G17:G19)</f>
        <v>2328587.7562793023</v>
      </c>
    </row>
    <row r="22" spans="1:7">
      <c r="A22" s="119" t="s">
        <v>225</v>
      </c>
      <c r="B22" s="120"/>
      <c r="C22" s="59">
        <f>0.21*'E-Costos'!B87</f>
        <v>6141787.826086957</v>
      </c>
      <c r="D22" s="59">
        <f>0.21*'E-Costos'!C87</f>
        <v>7056000</v>
      </c>
      <c r="E22" s="59">
        <f>0.21*'E-Costos'!D87</f>
        <v>7056000</v>
      </c>
      <c r="F22" s="59">
        <f>0.21*'E-Costos'!E87</f>
        <v>7056000</v>
      </c>
      <c r="G22" s="59">
        <f>0.21*'E-Costos'!F87</f>
        <v>7056000</v>
      </c>
    </row>
    <row r="23" spans="1:7">
      <c r="A23" s="121" t="s">
        <v>226</v>
      </c>
      <c r="B23" s="120"/>
      <c r="C23" s="59">
        <f>C22-C21</f>
        <v>4106873.7064456712</v>
      </c>
      <c r="D23" s="59">
        <f>D22-D21</f>
        <v>4656076.4794999901</v>
      </c>
      <c r="E23" s="59">
        <f>E22-E21</f>
        <v>4727378.3918223204</v>
      </c>
      <c r="F23" s="59">
        <f>F22-F21</f>
        <v>4727383.7488567438</v>
      </c>
      <c r="G23" s="59">
        <f>G22-G21</f>
        <v>4727412.2437206972</v>
      </c>
    </row>
    <row r="24" spans="1:7">
      <c r="A24" s="119"/>
      <c r="B24" s="122"/>
      <c r="C24" s="80"/>
      <c r="D24" s="80"/>
      <c r="E24" s="80"/>
      <c r="F24" s="80"/>
      <c r="G24" s="81"/>
    </row>
    <row r="25" spans="1:7">
      <c r="A25" s="123" t="s">
        <v>227</v>
      </c>
      <c r="B25" s="120"/>
      <c r="C25" s="59">
        <f>B27</f>
        <v>5349242.5362544125</v>
      </c>
      <c r="D25" s="59">
        <f>C27</f>
        <v>2864199.0142076244</v>
      </c>
      <c r="E25" s="59">
        <f>D27</f>
        <v>0</v>
      </c>
      <c r="F25" s="59">
        <f>E27</f>
        <v>0</v>
      </c>
      <c r="G25" s="59">
        <f>F27</f>
        <v>0</v>
      </c>
    </row>
    <row r="26" spans="1:7">
      <c r="A26" s="123" t="s">
        <v>228</v>
      </c>
      <c r="B26" s="120">
        <f>'E-Cal Inv.'!B23+'E-Cal Inv.'!C23</f>
        <v>5349242.5362544125</v>
      </c>
      <c r="C26" s="59">
        <f>'E-Cal Inv.'!D23</f>
        <v>1621830.1843988826</v>
      </c>
      <c r="D26" s="59">
        <f>'E-Cal Inv.'!E23</f>
        <v>-69397.607864307676</v>
      </c>
      <c r="E26" s="59">
        <f>'E-Cal Inv.'!F23</f>
        <v>0</v>
      </c>
      <c r="F26" s="59">
        <f>'E-Cal Inv.'!G23</f>
        <v>-30.845690230113103</v>
      </c>
      <c r="G26" s="59">
        <f>'E-Cal Inv.'!H23</f>
        <v>0</v>
      </c>
    </row>
    <row r="27" spans="1:7">
      <c r="A27" s="121" t="s">
        <v>229</v>
      </c>
      <c r="B27" s="120">
        <f>B26</f>
        <v>5349242.5362544125</v>
      </c>
      <c r="C27" s="59">
        <f>IF(C25+C26-C23&lt;0,0,C25+C26-C23)</f>
        <v>2864199.0142076244</v>
      </c>
      <c r="D27" s="59">
        <f t="shared" ref="D27:G27" si="0">IF(D25+D26-D23&lt;0,0,D25+D26-D23)</f>
        <v>0</v>
      </c>
      <c r="E27" s="59">
        <f t="shared" si="0"/>
        <v>0</v>
      </c>
      <c r="F27" s="59">
        <f t="shared" si="0"/>
        <v>0</v>
      </c>
      <c r="G27" s="59">
        <f t="shared" si="0"/>
        <v>0</v>
      </c>
    </row>
    <row r="28" spans="1:7">
      <c r="A28" s="121" t="s">
        <v>466</v>
      </c>
      <c r="B28" s="120">
        <f t="shared" ref="B28:G28" si="1">B25+B26-B27</f>
        <v>0</v>
      </c>
      <c r="C28" s="120">
        <f t="shared" si="1"/>
        <v>4106873.7064456712</v>
      </c>
      <c r="D28" s="120">
        <f t="shared" si="1"/>
        <v>2794801.4063433167</v>
      </c>
      <c r="E28" s="120">
        <f t="shared" si="1"/>
        <v>0</v>
      </c>
      <c r="F28" s="120">
        <f t="shared" si="1"/>
        <v>-30.845690230113103</v>
      </c>
      <c r="G28" s="120">
        <f t="shared" si="1"/>
        <v>0</v>
      </c>
    </row>
    <row r="29" spans="1:7">
      <c r="A29" s="119"/>
      <c r="B29" s="122"/>
      <c r="C29" s="80"/>
      <c r="D29" s="80"/>
      <c r="E29" s="80"/>
      <c r="F29" s="80"/>
      <c r="G29" s="81"/>
    </row>
    <row r="30" spans="1:7">
      <c r="A30" s="124" t="s">
        <v>230</v>
      </c>
      <c r="B30" s="125">
        <f t="shared" ref="B30:G30" si="2">B23-B28</f>
        <v>0</v>
      </c>
      <c r="C30" s="125">
        <f t="shared" si="2"/>
        <v>0</v>
      </c>
      <c r="D30" s="125">
        <f t="shared" si="2"/>
        <v>1861275.0731566735</v>
      </c>
      <c r="E30" s="125">
        <f t="shared" si="2"/>
        <v>4727378.3918223204</v>
      </c>
      <c r="F30" s="125">
        <f t="shared" si="2"/>
        <v>4727414.5945469737</v>
      </c>
      <c r="G30" s="125">
        <f t="shared" si="2"/>
        <v>4727412.2437206972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workbookViewId="0">
      <selection activeCell="A16" sqref="A16"/>
    </sheetView>
  </sheetViews>
  <sheetFormatPr baseColWidth="10" defaultColWidth="11.42578125" defaultRowHeight="12.75"/>
  <cols>
    <col min="1" max="1" width="8" style="14" customWidth="1"/>
    <col min="2" max="3" width="17" style="14" customWidth="1"/>
    <col min="4" max="4" width="17.7109375" style="14" customWidth="1"/>
    <col min="5" max="5" width="14.85546875" style="14" customWidth="1"/>
    <col min="6" max="6" width="15.85546875" style="14" customWidth="1"/>
    <col min="7" max="7" width="17" style="14" customWidth="1"/>
    <col min="8" max="8" width="16.7109375" style="14" customWidth="1"/>
    <col min="9" max="10" width="14.85546875" style="14" customWidth="1"/>
    <col min="11" max="11" width="15.85546875" style="14" customWidth="1"/>
    <col min="12" max="12" width="17.28515625" style="14" customWidth="1"/>
    <col min="13" max="14" width="17.42578125" style="14" customWidth="1"/>
    <col min="15" max="16384" width="11.42578125" style="14"/>
  </cols>
  <sheetData>
    <row r="1" spans="1:13">
      <c r="A1" s="1" t="s">
        <v>0</v>
      </c>
      <c r="B1"/>
      <c r="C1"/>
      <c r="D1"/>
      <c r="G1" s="14">
        <f>InfoInicial!E1</f>
        <v>0</v>
      </c>
      <c r="H1" s="2"/>
    </row>
    <row r="2" spans="1:13" ht="15.75">
      <c r="A2" s="112" t="s">
        <v>231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38.25">
      <c r="A3" s="116" t="s">
        <v>232</v>
      </c>
      <c r="B3" s="105" t="s">
        <v>233</v>
      </c>
      <c r="C3" s="105" t="s">
        <v>234</v>
      </c>
      <c r="D3" s="105" t="s">
        <v>235</v>
      </c>
      <c r="E3" s="105" t="s">
        <v>3</v>
      </c>
      <c r="F3" s="105" t="s">
        <v>236</v>
      </c>
      <c r="G3" s="105" t="s">
        <v>237</v>
      </c>
      <c r="H3" s="105" t="s">
        <v>238</v>
      </c>
      <c r="I3" s="105" t="s">
        <v>97</v>
      </c>
      <c r="J3" s="105" t="s">
        <v>239</v>
      </c>
      <c r="K3" s="105" t="s">
        <v>240</v>
      </c>
      <c r="L3" s="126" t="s">
        <v>241</v>
      </c>
      <c r="M3" s="127" t="s">
        <v>242</v>
      </c>
    </row>
    <row r="4" spans="1:13">
      <c r="A4" s="128">
        <v>0</v>
      </c>
      <c r="B4" s="129">
        <f>'E-Inv AF y Am'!B33+'E-Inv AF y Am'!D33</f>
        <v>23973175.1446</v>
      </c>
      <c r="C4" s="57">
        <f>'E-InvAT'!B25</f>
        <v>2037008.3613733919</v>
      </c>
      <c r="D4" s="57">
        <f>'E-IVA '!B26</f>
        <v>5349242.5362544125</v>
      </c>
      <c r="E4" s="57">
        <f>0</f>
        <v>0</v>
      </c>
      <c r="F4" s="57">
        <v>0</v>
      </c>
      <c r="G4" s="57">
        <f t="shared" ref="G4:G9" si="0">SUM(B4:F4)</f>
        <v>31359426.042227805</v>
      </c>
      <c r="H4" s="57">
        <v>0</v>
      </c>
      <c r="I4" s="57">
        <v>0</v>
      </c>
      <c r="J4" s="57">
        <f>'E-IVA '!B28</f>
        <v>0</v>
      </c>
      <c r="K4" s="57">
        <f t="shared" ref="K4:K9" si="1">SUM(H4:J4)</f>
        <v>0</v>
      </c>
      <c r="L4" s="130">
        <f t="shared" ref="L4:L9" si="2">K4-G4</f>
        <v>-31359426.042227805</v>
      </c>
      <c r="M4" s="58">
        <f>L4</f>
        <v>-31359426.042227805</v>
      </c>
    </row>
    <row r="5" spans="1:13">
      <c r="A5" s="131">
        <v>1</v>
      </c>
      <c r="B5" s="120">
        <f>'E-Inv AF y Am'!C33</f>
        <v>0</v>
      </c>
      <c r="C5" s="59">
        <f>'E-InvAT'!C25</f>
        <v>9775835.080824241</v>
      </c>
      <c r="D5" s="59">
        <f>'E-IVA '!C26</f>
        <v>1621830.1843988826</v>
      </c>
      <c r="E5" s="59">
        <f>'E-Costos'!B116</f>
        <v>381782.87368913868</v>
      </c>
      <c r="F5" s="59">
        <f>'E-Costos'!B117</f>
        <v>4320509.5205820855</v>
      </c>
      <c r="G5" s="57">
        <f t="shared" si="0"/>
        <v>16099957.659494348</v>
      </c>
      <c r="H5" s="59">
        <f>'E-Costos'!B115</f>
        <v>12726095.789637957</v>
      </c>
      <c r="I5" s="59">
        <f>'E-Inv AF y Am'!D56</f>
        <v>850219.1795333334</v>
      </c>
      <c r="J5" s="59">
        <f>'E-IVA '!C28</f>
        <v>4106873.7064456712</v>
      </c>
      <c r="K5" s="57">
        <f t="shared" si="1"/>
        <v>17683188.675616961</v>
      </c>
      <c r="L5" s="130">
        <f t="shared" si="2"/>
        <v>1583231.0161226131</v>
      </c>
      <c r="M5" s="60">
        <f>M4+L5</f>
        <v>-29776195.026105192</v>
      </c>
    </row>
    <row r="6" spans="1:13">
      <c r="A6" s="131">
        <v>2</v>
      </c>
      <c r="B6" s="120">
        <f>'E-Cal Inv.'!E8</f>
        <v>0</v>
      </c>
      <c r="C6" s="59">
        <f>'E-InvAT'!D25</f>
        <v>-373846.21050638705</v>
      </c>
      <c r="D6" s="59">
        <f>'E-IVA '!D26</f>
        <v>-69397.607864307676</v>
      </c>
      <c r="E6" s="59">
        <f>'E-Costos'!C116</f>
        <v>463894.85380345187</v>
      </c>
      <c r="F6" s="59">
        <f>'E-Costos'!C117</f>
        <v>5249743.4288757304</v>
      </c>
      <c r="G6" s="57">
        <f t="shared" si="0"/>
        <v>5270394.4643084873</v>
      </c>
      <c r="H6" s="59">
        <f>'E-Costos'!C115</f>
        <v>15463161.793448396</v>
      </c>
      <c r="I6" s="59">
        <f>'E-Inv AF y Am'!D56</f>
        <v>850219.1795333334</v>
      </c>
      <c r="J6" s="59">
        <f>'E-IVA '!D28</f>
        <v>2794801.4063433167</v>
      </c>
      <c r="K6" s="57">
        <f t="shared" si="1"/>
        <v>19108182.379325047</v>
      </c>
      <c r="L6" s="130">
        <f t="shared" si="2"/>
        <v>13837787.91501656</v>
      </c>
      <c r="M6" s="60">
        <f>M5+L6</f>
        <v>-15938407.111088632</v>
      </c>
    </row>
    <row r="7" spans="1:13">
      <c r="A7" s="131">
        <v>3</v>
      </c>
      <c r="B7" s="120">
        <f>'E-Cal Inv.'!F8</f>
        <v>0</v>
      </c>
      <c r="C7" s="59">
        <f>'E-InvAT'!E25</f>
        <v>151.89055914245546</v>
      </c>
      <c r="D7" s="59">
        <f>'E-IVA '!E26</f>
        <v>0</v>
      </c>
      <c r="E7" s="59">
        <f>'E-Costos'!D116</f>
        <v>463894.85380345187</v>
      </c>
      <c r="F7" s="59">
        <f>'E-Costos'!D117</f>
        <v>5249743.4288757304</v>
      </c>
      <c r="G7" s="57">
        <f t="shared" si="0"/>
        <v>5713790.1732383249</v>
      </c>
      <c r="H7" s="59">
        <f>'E-Costos'!D115</f>
        <v>15463161.793448396</v>
      </c>
      <c r="I7" s="59">
        <f>'E-Inv AF y Am'!D56</f>
        <v>850219.1795333334</v>
      </c>
      <c r="J7" s="59">
        <f>'E-IVA '!E28</f>
        <v>0</v>
      </c>
      <c r="K7" s="57">
        <f t="shared" si="1"/>
        <v>16313380.972981729</v>
      </c>
      <c r="L7" s="130">
        <f t="shared" si="2"/>
        <v>10599590.799743403</v>
      </c>
      <c r="M7" s="60">
        <f>M6+L7</f>
        <v>-5338816.3113452289</v>
      </c>
    </row>
    <row r="8" spans="1:13">
      <c r="A8" s="131">
        <v>4</v>
      </c>
      <c r="B8" s="120">
        <f>'E-Cal Inv.'!G8</f>
        <v>0</v>
      </c>
      <c r="C8" s="59">
        <f>'E-InvAT'!F25</f>
        <v>499.97195843420923</v>
      </c>
      <c r="D8" s="59">
        <f>'E-IVA '!F26</f>
        <v>-30.845690230113103</v>
      </c>
      <c r="E8" s="59">
        <f>'E-Costos'!E116</f>
        <v>464348.11196134315</v>
      </c>
      <c r="F8" s="59">
        <f>'E-Costos'!E117</f>
        <v>5254872.8003625339</v>
      </c>
      <c r="G8" s="57">
        <f t="shared" si="0"/>
        <v>5719690.0385920815</v>
      </c>
      <c r="H8" s="59">
        <f>'E-Costos'!E115</f>
        <v>15478270.398711439</v>
      </c>
      <c r="I8" s="59">
        <f>'E-Inv AF y Am'!E56</f>
        <v>835722.40300000005</v>
      </c>
      <c r="J8" s="59">
        <f>'E-IVA '!F28</f>
        <v>-30.845690230113103</v>
      </c>
      <c r="K8" s="57">
        <f t="shared" si="1"/>
        <v>16313961.95602121</v>
      </c>
      <c r="L8" s="130">
        <f t="shared" si="2"/>
        <v>10594271.917429129</v>
      </c>
      <c r="M8" s="60">
        <f>M7+L8</f>
        <v>5255455.6060838997</v>
      </c>
    </row>
    <row r="9" spans="1:13">
      <c r="A9" s="131">
        <v>5</v>
      </c>
      <c r="B9" s="120">
        <f>-'E-Inv AF y Am'!G56</f>
        <v>-19751072.800000001</v>
      </c>
      <c r="C9" s="59">
        <f>'E-InvAT'!G25-'E-InvAT'!G22</f>
        <v>-11439649.094208822</v>
      </c>
      <c r="D9" s="59">
        <f>'E-IVA '!G26</f>
        <v>0</v>
      </c>
      <c r="E9" s="59">
        <f>'E-Costos'!F116</f>
        <v>464348.11196134315</v>
      </c>
      <c r="F9" s="59">
        <f>'E-Costos'!F117</f>
        <v>5254872.8003625339</v>
      </c>
      <c r="G9" s="57">
        <f t="shared" si="0"/>
        <v>-25471500.981884945</v>
      </c>
      <c r="H9" s="59">
        <f>'E-Costos'!F115</f>
        <v>15478270.398711439</v>
      </c>
      <c r="I9" s="59">
        <f>'E-Inv AF y Am'!E56</f>
        <v>835722.40300000005</v>
      </c>
      <c r="J9" s="59">
        <f>'E-IVA '!G28</f>
        <v>0</v>
      </c>
      <c r="K9" s="57">
        <f t="shared" si="1"/>
        <v>16313992.80171144</v>
      </c>
      <c r="L9" s="130">
        <f t="shared" si="2"/>
        <v>41785493.783596382</v>
      </c>
      <c r="M9" s="60">
        <f>M8+L9</f>
        <v>47040949.389680281</v>
      </c>
    </row>
    <row r="10" spans="1:13">
      <c r="A10" s="131"/>
      <c r="B10" s="122"/>
      <c r="C10" s="80"/>
      <c r="D10" s="80"/>
      <c r="E10" s="80"/>
      <c r="F10" s="80"/>
      <c r="G10" s="80"/>
      <c r="H10" s="80"/>
      <c r="I10" s="80"/>
      <c r="J10" s="80"/>
      <c r="K10" s="80"/>
      <c r="L10" s="110"/>
      <c r="M10" s="81"/>
    </row>
    <row r="11" spans="1:13">
      <c r="A11" s="132" t="s">
        <v>243</v>
      </c>
      <c r="B11" s="125">
        <f t="shared" ref="B11:L11" si="3">SUM(B4:B9)</f>
        <v>4222102.3445999995</v>
      </c>
      <c r="C11" s="64">
        <f t="shared" si="3"/>
        <v>0</v>
      </c>
      <c r="D11" s="64">
        <f t="shared" si="3"/>
        <v>6901644.2670987584</v>
      </c>
      <c r="E11" s="64">
        <f t="shared" si="3"/>
        <v>2238268.8052187287</v>
      </c>
      <c r="F11" s="64">
        <f t="shared" si="3"/>
        <v>25329741.979058616</v>
      </c>
      <c r="G11" s="64">
        <f t="shared" si="3"/>
        <v>38691757.395976096</v>
      </c>
      <c r="H11" s="64">
        <f t="shared" si="3"/>
        <v>74608960.173957631</v>
      </c>
      <c r="I11" s="64">
        <f t="shared" si="3"/>
        <v>4222102.3446000004</v>
      </c>
      <c r="J11" s="64">
        <f t="shared" si="3"/>
        <v>6901644.2670987584</v>
      </c>
      <c r="K11" s="64">
        <f t="shared" si="3"/>
        <v>85732706.785656393</v>
      </c>
      <c r="L11" s="111">
        <f t="shared" si="3"/>
        <v>47040949.389680281</v>
      </c>
      <c r="M11" s="65"/>
    </row>
    <row r="13" spans="1:13">
      <c r="C13" s="133" t="s">
        <v>244</v>
      </c>
      <c r="D13" s="134">
        <f>L11</f>
        <v>47040949.389680281</v>
      </c>
    </row>
    <row r="14" spans="1:13">
      <c r="A14" s="69"/>
      <c r="C14" s="133" t="s">
        <v>245</v>
      </c>
      <c r="D14" s="259">
        <f>IF(COUNTIF(M5:M9, "&lt;0")=0,(-1)*(M4/L5), IF(COUNTIF(M5:M9, "&lt;0")=1,COUNTIF(M5:M9, "&lt;0")+(-1)*(M5/L6),IF(COUNTIF(M5:M9, "&lt;0")=2,COUNTIF(M5:M9, "&lt;0")+(-1)*(M6/L7),IF(COUNTIF(M5:M9, "&lt;0")=3,COUNTIF(M5:M9, "&lt;0")+(-1)*(M7/L8),IF(COUNTIF(M5:M9, "&lt;0")=4,COUNTIF(M5:M9, "&lt;0")+(-1)*(M8/L9),"Supera los 5 años")))))</f>
        <v>3.5039342347407656</v>
      </c>
      <c r="E14" s="14" t="s">
        <v>246</v>
      </c>
      <c r="F14" s="224"/>
    </row>
    <row r="15" spans="1:13">
      <c r="C15" s="133" t="s">
        <v>247</v>
      </c>
      <c r="D15" s="398">
        <f>IRR(L4:L9)</f>
        <v>0.27407723560158792</v>
      </c>
      <c r="F15" s="224"/>
    </row>
    <row r="21" spans="4:4">
      <c r="D21" s="290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4"/>
  <sheetViews>
    <sheetView topLeftCell="B1" workbookViewId="0">
      <selection activeCell="E32" sqref="E32"/>
    </sheetView>
  </sheetViews>
  <sheetFormatPr baseColWidth="10" defaultColWidth="11.42578125" defaultRowHeight="12.75"/>
  <cols>
    <col min="1" max="1" width="27.28515625" style="14" customWidth="1"/>
    <col min="2" max="9" width="15.140625" style="14" customWidth="1"/>
    <col min="10" max="10" width="11.42578125" style="14"/>
    <col min="11" max="11" width="12.28515625" style="14" bestFit="1" customWidth="1"/>
    <col min="12" max="16384" width="11.42578125" style="14"/>
  </cols>
  <sheetData>
    <row r="1" spans="1:9">
      <c r="A1" s="1" t="s">
        <v>0</v>
      </c>
      <c r="B1"/>
      <c r="C1"/>
      <c r="D1"/>
      <c r="F1" s="136">
        <f>InfoInicial!E1</f>
        <v>0</v>
      </c>
      <c r="G1" s="2"/>
    </row>
    <row r="2" spans="1:9" ht="15.75">
      <c r="A2" s="137" t="s">
        <v>248</v>
      </c>
      <c r="B2" s="85"/>
      <c r="C2" s="85"/>
      <c r="D2" s="85"/>
      <c r="E2" s="85"/>
      <c r="F2" s="85"/>
      <c r="G2" s="86"/>
    </row>
    <row r="3" spans="1:9">
      <c r="A3" s="56" t="s">
        <v>89</v>
      </c>
      <c r="B3" s="491" t="s">
        <v>249</v>
      </c>
      <c r="C3" s="491"/>
      <c r="D3" s="491" t="s">
        <v>524</v>
      </c>
      <c r="E3" s="491"/>
      <c r="F3" s="492" t="s">
        <v>250</v>
      </c>
      <c r="G3" s="492"/>
    </row>
    <row r="4" spans="1:9">
      <c r="A4" s="56" t="s">
        <v>75</v>
      </c>
      <c r="B4" s="138" t="s">
        <v>251</v>
      </c>
      <c r="C4" s="138" t="s">
        <v>252</v>
      </c>
      <c r="D4" s="138" t="s">
        <v>251</v>
      </c>
      <c r="E4" s="138" t="s">
        <v>252</v>
      </c>
      <c r="F4" s="138" t="s">
        <v>251</v>
      </c>
      <c r="G4" s="139" t="s">
        <v>252</v>
      </c>
    </row>
    <row r="5" spans="1:9">
      <c r="A5" s="25" t="s">
        <v>253</v>
      </c>
      <c r="B5" s="59">
        <f>'E-Cal Inv.'!B8+'E-Cal Inv.'!C8</f>
        <v>23973175.1446</v>
      </c>
      <c r="C5" s="82">
        <f>B5/$B$8</f>
        <v>0.76446472943472665</v>
      </c>
      <c r="D5" s="59">
        <f>'E-Inv AF y Am'!B8*InfoInicial!B37</f>
        <v>3351600</v>
      </c>
      <c r="E5" s="82">
        <f>D5/$B$8</f>
        <v>0.10687695608608463</v>
      </c>
      <c r="F5" s="59">
        <f>B5-D5</f>
        <v>20621575.1446</v>
      </c>
      <c r="G5" s="83">
        <f>F5/$B$8</f>
        <v>0.65758777334864205</v>
      </c>
    </row>
    <row r="6" spans="1:9">
      <c r="A6" s="23" t="s">
        <v>254</v>
      </c>
      <c r="B6" s="59">
        <f>'E-Cal Inv.'!B18+'E-Cal Inv.'!C18</f>
        <v>2037008.3613733919</v>
      </c>
      <c r="C6" s="82">
        <f>B6/$B$8</f>
        <v>6.4956812622476198E-2</v>
      </c>
      <c r="D6" s="59">
        <f>'Crédito renovable'!C3</f>
        <v>832456.66666666663</v>
      </c>
      <c r="E6" s="82">
        <f>D6/$B$8</f>
        <v>2.654566016436977E-2</v>
      </c>
      <c r="F6" s="59">
        <f>B6-D6</f>
        <v>1204551.6947067254</v>
      </c>
      <c r="G6" s="83">
        <f>F6/$B$8</f>
        <v>3.8411152458106432E-2</v>
      </c>
    </row>
    <row r="7" spans="1:9">
      <c r="A7" s="23" t="s">
        <v>255</v>
      </c>
      <c r="B7" s="59">
        <f>'E-Cal Inv.'!B23+'E-Cal Inv.'!C23</f>
        <v>5349242.5362544125</v>
      </c>
      <c r="C7" s="82">
        <f>B7/$B$8</f>
        <v>0.17057845794279713</v>
      </c>
      <c r="D7" s="59"/>
      <c r="E7" s="82"/>
      <c r="F7" s="59">
        <f>B7</f>
        <v>5349242.5362544125</v>
      </c>
      <c r="G7" s="83">
        <f>F7/$B$8</f>
        <v>0.17057845794279713</v>
      </c>
    </row>
    <row r="8" spans="1:9">
      <c r="A8" s="31" t="s">
        <v>193</v>
      </c>
      <c r="B8" s="140">
        <f>SUM(B5:B7)</f>
        <v>31359426.042227805</v>
      </c>
      <c r="C8" s="82">
        <f>B8/$B$8</f>
        <v>1</v>
      </c>
      <c r="D8" s="140">
        <f>SUM(D5:D6)</f>
        <v>4184056.6666666665</v>
      </c>
      <c r="E8" s="82">
        <f>D8/$B$8</f>
        <v>0.1334226162504544</v>
      </c>
      <c r="F8" s="140">
        <f>SUM(F5:F7)</f>
        <v>27175369.37556114</v>
      </c>
      <c r="G8" s="83">
        <f>F8/$B$8</f>
        <v>0.86657738374954563</v>
      </c>
    </row>
    <row r="9" spans="1:9">
      <c r="A9" s="69"/>
      <c r="B9" s="52"/>
      <c r="C9" s="141"/>
      <c r="D9" s="52"/>
      <c r="E9" s="52"/>
      <c r="F9" s="52"/>
      <c r="G9" s="52"/>
    </row>
    <row r="10" spans="1:9" ht="15.75">
      <c r="A10" s="142" t="s">
        <v>256</v>
      </c>
      <c r="B10" s="143"/>
      <c r="C10" s="143"/>
      <c r="D10" s="143"/>
      <c r="E10" s="143"/>
      <c r="F10" s="143"/>
      <c r="G10" s="143"/>
      <c r="H10" s="143"/>
      <c r="I10" s="144"/>
    </row>
    <row r="11" spans="1:9">
      <c r="A11" s="145" t="s">
        <v>257</v>
      </c>
      <c r="B11" s="146" t="s">
        <v>258</v>
      </c>
      <c r="C11" s="146" t="s">
        <v>259</v>
      </c>
      <c r="D11" s="146" t="s">
        <v>260</v>
      </c>
      <c r="E11" s="146" t="s">
        <v>259</v>
      </c>
      <c r="F11" s="146" t="s">
        <v>261</v>
      </c>
      <c r="G11" s="146" t="s">
        <v>260</v>
      </c>
      <c r="H11" s="146"/>
      <c r="I11" s="147" t="s">
        <v>262</v>
      </c>
    </row>
    <row r="12" spans="1:9">
      <c r="A12" s="148"/>
      <c r="B12" s="149"/>
      <c r="C12" s="149" t="s">
        <v>263</v>
      </c>
      <c r="D12" s="149" t="s">
        <v>263</v>
      </c>
      <c r="E12" s="149" t="s">
        <v>36</v>
      </c>
      <c r="F12" s="149" t="s">
        <v>264</v>
      </c>
      <c r="G12" s="149" t="s">
        <v>36</v>
      </c>
      <c r="H12" s="149" t="s">
        <v>265</v>
      </c>
      <c r="I12" s="150" t="s">
        <v>266</v>
      </c>
    </row>
    <row r="13" spans="1:9">
      <c r="A13" s="151"/>
      <c r="B13" s="78"/>
      <c r="C13" s="78"/>
      <c r="D13" s="78"/>
      <c r="E13" s="78"/>
      <c r="F13" s="152"/>
      <c r="G13" s="78"/>
      <c r="H13" s="153"/>
      <c r="I13" s="79"/>
    </row>
    <row r="14" spans="1:9">
      <c r="A14" s="154"/>
      <c r="B14" s="59"/>
      <c r="C14" s="59"/>
      <c r="D14" s="59"/>
      <c r="E14" s="59"/>
      <c r="F14" s="24"/>
      <c r="G14" s="59"/>
      <c r="H14" s="93"/>
      <c r="I14" s="60"/>
    </row>
    <row r="15" spans="1:9">
      <c r="A15" s="154"/>
      <c r="B15" s="59"/>
      <c r="C15" s="59"/>
      <c r="D15" s="59"/>
      <c r="E15" s="59"/>
      <c r="F15" s="24"/>
      <c r="G15" s="59"/>
      <c r="H15" s="93"/>
      <c r="I15" s="60"/>
    </row>
    <row r="16" spans="1:9">
      <c r="A16" s="154"/>
      <c r="B16" s="59"/>
      <c r="C16" s="59"/>
      <c r="D16" s="59"/>
      <c r="E16" s="59"/>
      <c r="F16" s="24"/>
      <c r="G16" s="59"/>
      <c r="H16" s="93"/>
      <c r="I16" s="60"/>
    </row>
    <row r="17" spans="1:14">
      <c r="A17" s="154"/>
      <c r="B17" s="59"/>
      <c r="C17" s="59"/>
      <c r="D17" s="59"/>
      <c r="E17" s="59"/>
      <c r="F17" s="24"/>
      <c r="G17" s="59"/>
      <c r="H17" s="93"/>
      <c r="I17" s="60"/>
    </row>
    <row r="18" spans="1:14">
      <c r="A18" s="154"/>
      <c r="B18" s="59"/>
      <c r="C18" s="59"/>
      <c r="D18" s="59"/>
      <c r="E18" s="59"/>
      <c r="F18" s="24"/>
      <c r="G18" s="59"/>
      <c r="H18" s="93"/>
      <c r="I18" s="60"/>
    </row>
    <row r="19" spans="1:14">
      <c r="A19" s="154" t="s">
        <v>550</v>
      </c>
      <c r="B19" s="59">
        <f>'Crédito edificio(no renovable)'!E7</f>
        <v>3351600</v>
      </c>
      <c r="C19" s="59"/>
      <c r="D19" s="59"/>
      <c r="E19" s="59"/>
      <c r="F19" s="24"/>
      <c r="G19" s="59"/>
      <c r="H19" s="93"/>
      <c r="I19" s="60">
        <f>'Crédito edificio(no renovable)'!J7</f>
        <v>67032</v>
      </c>
    </row>
    <row r="20" spans="1:14" ht="13.5" thickBot="1">
      <c r="A20" s="155" t="s">
        <v>549</v>
      </c>
      <c r="B20" s="59">
        <f>'Crédito edificio(no renovable)'!E8</f>
        <v>3351600</v>
      </c>
      <c r="C20" s="64"/>
      <c r="D20" s="73">
        <f>'Crédito edificio(no renovable)'!G8</f>
        <v>368676</v>
      </c>
      <c r="E20" s="64"/>
      <c r="F20" s="28"/>
      <c r="G20" s="73"/>
      <c r="H20" s="156"/>
      <c r="I20" s="74"/>
    </row>
    <row r="21" spans="1:14" ht="14.25" thickTop="1" thickBot="1">
      <c r="A21" s="157" t="s">
        <v>267</v>
      </c>
      <c r="B21" s="158">
        <f>SUM(B19:B20)</f>
        <v>6703200</v>
      </c>
      <c r="C21" s="158"/>
      <c r="D21" s="73">
        <f>'Crédito edificio(no renovable)'!G9</f>
        <v>368676</v>
      </c>
      <c r="E21" s="158"/>
      <c r="F21" s="160"/>
      <c r="G21" s="159">
        <f>'Crédito edificio(no renovable)'!I9</f>
        <v>368676</v>
      </c>
      <c r="H21" s="161"/>
      <c r="I21" s="159">
        <f>SUM(I13:I20)</f>
        <v>67032</v>
      </c>
      <c r="K21" s="471">
        <f>G21+I21</f>
        <v>435708</v>
      </c>
      <c r="L21" s="472" t="s">
        <v>606</v>
      </c>
      <c r="M21" s="472"/>
      <c r="N21" s="473"/>
    </row>
    <row r="22" spans="1:14" ht="14.25" thickTop="1" thickBot="1">
      <c r="A22" s="346">
        <v>36892</v>
      </c>
      <c r="B22" s="78">
        <f>'Crédito edificio(no renovable)'!E10+'Crédito renovable'!$C$3</f>
        <v>4184056.6666666665</v>
      </c>
      <c r="C22" s="78"/>
      <c r="D22" s="57"/>
      <c r="E22" s="78"/>
      <c r="F22" s="152"/>
      <c r="G22" s="57"/>
      <c r="H22" s="153"/>
      <c r="I22" s="58"/>
    </row>
    <row r="23" spans="1:14" ht="14.25" thickTop="1" thickBot="1">
      <c r="A23" s="347">
        <v>37072</v>
      </c>
      <c r="B23" s="78">
        <f>'Crédito edificio(no renovable)'!E11+'Crédito renovable'!$C$3</f>
        <v>3848896.6666666665</v>
      </c>
      <c r="C23" s="59">
        <f>'Crédito edificio(no renovable)'!F11</f>
        <v>335160</v>
      </c>
      <c r="D23" s="59">
        <f>'Crédito edificio(no renovable)'!G11+'Crédito renovable'!N5</f>
        <v>416542.2583333333</v>
      </c>
      <c r="E23" s="59"/>
      <c r="F23" s="24"/>
      <c r="G23" s="59"/>
      <c r="H23" s="93"/>
      <c r="I23" s="60"/>
    </row>
    <row r="24" spans="1:14" ht="14.25" thickTop="1" thickBot="1">
      <c r="A24" s="347">
        <v>37256</v>
      </c>
      <c r="B24" s="78">
        <f>'Crédito edificio(no renovable)'!E12+'Crédito renovable'!$C$3</f>
        <v>3513736.6666666665</v>
      </c>
      <c r="C24" s="59">
        <f>'Crédito edificio(no renovable)'!F12</f>
        <v>335160</v>
      </c>
      <c r="D24" s="59">
        <f>'Crédito edificio(no renovable)'!G12+'Crédito renovable'!$N$7</f>
        <v>415054.06666666671</v>
      </c>
      <c r="E24" s="59">
        <f>C23+C24</f>
        <v>670320</v>
      </c>
      <c r="F24" s="59">
        <f>(B22+B24)/2</f>
        <v>3848896.6666666665</v>
      </c>
      <c r="G24" s="59">
        <f>D23+D24</f>
        <v>831596.32499999995</v>
      </c>
      <c r="H24" s="82"/>
      <c r="I24" s="60"/>
    </row>
    <row r="25" spans="1:14" ht="14.25" thickTop="1" thickBot="1">
      <c r="A25" s="347">
        <v>37437</v>
      </c>
      <c r="B25" s="78">
        <f>'Crédito edificio(no renovable)'!E13+'Crédito renovable'!$C$3</f>
        <v>3178576.6666666665</v>
      </c>
      <c r="C25" s="59">
        <f>'Crédito edificio(no renovable)'!F13</f>
        <v>335160</v>
      </c>
      <c r="D25" s="59">
        <f>'Crédito edificio(no renovable)'!G13+'Crédito renovable'!$N$7</f>
        <v>378186.46666666667</v>
      </c>
      <c r="E25" s="59"/>
      <c r="F25" s="59"/>
      <c r="G25" s="59"/>
      <c r="H25" s="82"/>
      <c r="I25" s="60"/>
    </row>
    <row r="26" spans="1:14" ht="14.25" thickTop="1" thickBot="1">
      <c r="A26" s="347">
        <v>37621</v>
      </c>
      <c r="B26" s="78">
        <f>'Crédito edificio(no renovable)'!E14+'Crédito renovable'!$C$3</f>
        <v>2843416.6666666665</v>
      </c>
      <c r="C26" s="59">
        <f>'Crédito edificio(no renovable)'!F14</f>
        <v>335160</v>
      </c>
      <c r="D26" s="59">
        <f>'Crédito edificio(no renovable)'!G14+'Crédito renovable'!$N$7</f>
        <v>341318.8666666667</v>
      </c>
      <c r="E26" s="59">
        <f t="shared" ref="E26:E32" si="0">C25+C26</f>
        <v>670320</v>
      </c>
      <c r="F26" s="59">
        <f>(B24+B26)/2</f>
        <v>3178576.6666666665</v>
      </c>
      <c r="G26" s="59">
        <f t="shared" ref="G26:G32" si="1">D25+D26</f>
        <v>719505.33333333337</v>
      </c>
      <c r="H26" s="82">
        <f>G26/F26</f>
        <v>0.22636085543529444</v>
      </c>
      <c r="I26" s="60"/>
    </row>
    <row r="27" spans="1:14" ht="14.25" thickTop="1" thickBot="1">
      <c r="A27" s="347">
        <v>37802</v>
      </c>
      <c r="B27" s="78">
        <f>'Crédito edificio(no renovable)'!E15+'Crédito renovable'!$C$3</f>
        <v>2508256.6666666665</v>
      </c>
      <c r="C27" s="59">
        <f>'Crédito edificio(no renovable)'!F15</f>
        <v>335160</v>
      </c>
      <c r="D27" s="59">
        <f>'Crédito edificio(no renovable)'!G15+'Crédito renovable'!$N$7</f>
        <v>304451.26666666666</v>
      </c>
      <c r="E27" s="59"/>
      <c r="F27" s="59"/>
      <c r="G27" s="59"/>
      <c r="H27" s="82"/>
      <c r="I27" s="60"/>
    </row>
    <row r="28" spans="1:14" ht="14.25" thickTop="1" thickBot="1">
      <c r="A28" s="347">
        <v>37986</v>
      </c>
      <c r="B28" s="78">
        <f>'Crédito edificio(no renovable)'!E16+'Crédito renovable'!$C$3</f>
        <v>2173096.6666666665</v>
      </c>
      <c r="C28" s="59">
        <f>'Crédito edificio(no renovable)'!F16</f>
        <v>335160</v>
      </c>
      <c r="D28" s="59">
        <f>'Crédito edificio(no renovable)'!G16+'Crédito renovable'!$N$7</f>
        <v>267583.66666666669</v>
      </c>
      <c r="E28" s="59">
        <f t="shared" si="0"/>
        <v>670320</v>
      </c>
      <c r="F28" s="59">
        <f>(B28+B26)/2</f>
        <v>2508256.6666666665</v>
      </c>
      <c r="G28" s="59">
        <f t="shared" si="1"/>
        <v>572034.93333333335</v>
      </c>
      <c r="H28" s="82">
        <f t="shared" ref="H28:H32" si="2">G28/F28</f>
        <v>0.22806076464795605</v>
      </c>
      <c r="I28" s="60"/>
    </row>
    <row r="29" spans="1:14" ht="14.25" thickTop="1" thickBot="1">
      <c r="A29" s="347">
        <v>38168</v>
      </c>
      <c r="B29" s="78">
        <f>'Crédito edificio(no renovable)'!E17+'Crédito renovable'!$C$3</f>
        <v>1837936.6666666665</v>
      </c>
      <c r="C29" s="59">
        <f>'Crédito edificio(no renovable)'!F17</f>
        <v>335160</v>
      </c>
      <c r="D29" s="59">
        <f>'Crédito edificio(no renovable)'!G17+'Crédito renovable'!$N$7</f>
        <v>230716.06666666665</v>
      </c>
      <c r="E29" s="59"/>
      <c r="F29" s="59"/>
      <c r="G29" s="59"/>
      <c r="H29" s="82"/>
      <c r="I29" s="60"/>
    </row>
    <row r="30" spans="1:14" ht="14.25" thickTop="1" thickBot="1">
      <c r="A30" s="347">
        <v>38352</v>
      </c>
      <c r="B30" s="78">
        <f>'Crédito edificio(no renovable)'!E18+'Crédito renovable'!$C$3</f>
        <v>1502776.6666666665</v>
      </c>
      <c r="C30" s="59">
        <f>'Crédito edificio(no renovable)'!F18</f>
        <v>335160</v>
      </c>
      <c r="D30" s="59">
        <f>'Crédito edificio(no renovable)'!G18+'Crédito renovable'!$N$7</f>
        <v>193848.46666666667</v>
      </c>
      <c r="E30" s="59"/>
      <c r="F30" s="59">
        <f>(B30+B28)/2</f>
        <v>1837936.6666666665</v>
      </c>
      <c r="G30" s="59">
        <f t="shared" si="1"/>
        <v>424564.53333333333</v>
      </c>
      <c r="H30" s="82">
        <f t="shared" si="2"/>
        <v>0.23100063295615919</v>
      </c>
      <c r="I30" s="60"/>
    </row>
    <row r="31" spans="1:14" ht="14.25" thickTop="1" thickBot="1">
      <c r="A31" s="347">
        <v>38533</v>
      </c>
      <c r="B31" s="78">
        <f>'Crédito edificio(no renovable)'!E19+'Crédito renovable'!$C$3</f>
        <v>1167616.6666666665</v>
      </c>
      <c r="C31" s="59">
        <f>'Crédito edificio(no renovable)'!F19</f>
        <v>335160</v>
      </c>
      <c r="D31" s="59">
        <f>'Crédito edificio(no renovable)'!G19+'Crédito renovable'!$N$7</f>
        <v>156980.86666666667</v>
      </c>
      <c r="E31" s="59"/>
      <c r="F31" s="59"/>
      <c r="G31" s="59"/>
      <c r="H31" s="82"/>
      <c r="I31" s="60"/>
    </row>
    <row r="32" spans="1:14" ht="14.25" thickTop="1" thickBot="1">
      <c r="A32" s="347">
        <v>38717</v>
      </c>
      <c r="B32" s="78">
        <f>'Crédito edificio(no renovable)'!E20+'Crédito renovable'!$C$3</f>
        <v>832456.66666666663</v>
      </c>
      <c r="C32" s="59">
        <f>'Crédito edificio(no renovable)'!F20</f>
        <v>335160</v>
      </c>
      <c r="D32" s="59">
        <f>'Crédito edificio(no renovable)'!G20+'Crédito renovable'!$N$7</f>
        <v>120113.26666666666</v>
      </c>
      <c r="E32" s="59"/>
      <c r="F32" s="59">
        <f>(B32+B30)/2</f>
        <v>1167616.6666666665</v>
      </c>
      <c r="G32" s="59">
        <f t="shared" si="1"/>
        <v>277094.1333333333</v>
      </c>
      <c r="H32" s="82">
        <f t="shared" si="2"/>
        <v>0.23731601410280201</v>
      </c>
      <c r="I32" s="60"/>
    </row>
    <row r="33" spans="1:9" ht="14.25" thickTop="1" thickBot="1">
      <c r="A33" s="347"/>
      <c r="B33" s="78"/>
      <c r="C33" s="59"/>
      <c r="D33" s="59"/>
      <c r="E33" s="59"/>
      <c r="F33" s="59"/>
      <c r="G33" s="59"/>
      <c r="H33" s="82"/>
      <c r="I33" s="60"/>
    </row>
    <row r="34" spans="1:9" ht="13.5" thickTop="1">
      <c r="A34" s="347"/>
      <c r="B34" s="78"/>
      <c r="C34" s="59"/>
      <c r="D34" s="59"/>
      <c r="E34" s="59"/>
      <c r="F34" s="59"/>
      <c r="G34" s="59"/>
      <c r="H34" s="82"/>
      <c r="I34" s="60"/>
    </row>
    <row r="35" spans="1:9">
      <c r="A35" s="347"/>
      <c r="B35" s="59"/>
      <c r="C35" s="59"/>
      <c r="D35" s="59"/>
      <c r="E35" s="59"/>
      <c r="F35" s="24"/>
      <c r="G35" s="59"/>
      <c r="H35" s="93"/>
      <c r="I35" s="60"/>
    </row>
    <row r="36" spans="1:9">
      <c r="A36" s="347"/>
      <c r="B36" s="59"/>
      <c r="C36" s="59"/>
      <c r="D36" s="59"/>
      <c r="E36" s="59"/>
      <c r="F36" s="59"/>
      <c r="G36" s="59"/>
      <c r="H36" s="82"/>
      <c r="I36" s="60"/>
    </row>
    <row r="37" spans="1:9">
      <c r="A37" s="347"/>
      <c r="B37" s="59"/>
      <c r="C37" s="59"/>
      <c r="D37" s="59"/>
      <c r="E37" s="59"/>
      <c r="F37" s="24"/>
      <c r="G37" s="59"/>
      <c r="H37" s="93"/>
      <c r="I37" s="60"/>
    </row>
    <row r="38" spans="1:9">
      <c r="A38" s="347"/>
      <c r="B38" s="59"/>
      <c r="C38" s="59"/>
      <c r="D38" s="59"/>
      <c r="E38" s="59"/>
      <c r="F38" s="59"/>
      <c r="G38" s="59"/>
      <c r="H38" s="82"/>
      <c r="I38" s="60"/>
    </row>
    <row r="39" spans="1:9">
      <c r="A39" s="347"/>
      <c r="B39" s="59"/>
      <c r="C39" s="59"/>
      <c r="D39" s="59"/>
      <c r="E39" s="59"/>
      <c r="F39" s="24"/>
      <c r="G39" s="59"/>
      <c r="H39" s="93"/>
      <c r="I39" s="60"/>
    </row>
    <row r="40" spans="1:9">
      <c r="A40" s="347"/>
      <c r="B40" s="59"/>
      <c r="C40" s="59"/>
      <c r="D40" s="59"/>
      <c r="E40" s="59"/>
      <c r="F40" s="59"/>
      <c r="G40" s="59"/>
      <c r="H40" s="82"/>
      <c r="I40" s="60"/>
    </row>
    <row r="41" spans="1:9">
      <c r="A41" s="347"/>
      <c r="B41" s="59"/>
      <c r="C41" s="59"/>
      <c r="D41" s="59"/>
      <c r="E41" s="59"/>
      <c r="F41" s="24"/>
      <c r="G41" s="59"/>
      <c r="H41" s="93"/>
      <c r="I41" s="60"/>
    </row>
    <row r="42" spans="1:9">
      <c r="A42" s="347"/>
      <c r="B42" s="59"/>
      <c r="C42" s="59"/>
      <c r="D42" s="59"/>
      <c r="E42" s="59"/>
      <c r="F42" s="59"/>
      <c r="G42" s="59"/>
      <c r="H42" s="82"/>
      <c r="I42" s="60"/>
    </row>
    <row r="43" spans="1:9">
      <c r="A43" s="347"/>
      <c r="B43" s="59"/>
      <c r="C43" s="59"/>
      <c r="D43" s="59"/>
      <c r="E43" s="59"/>
      <c r="F43" s="24"/>
      <c r="G43" s="59"/>
      <c r="H43" s="93"/>
      <c r="I43" s="60"/>
    </row>
    <row r="44" spans="1:9">
      <c r="A44" s="347"/>
      <c r="B44" s="59"/>
      <c r="C44" s="59"/>
      <c r="D44" s="59"/>
      <c r="E44" s="59"/>
      <c r="F44" s="59"/>
      <c r="G44" s="59"/>
      <c r="H44" s="82"/>
      <c r="I44" s="60"/>
    </row>
    <row r="45" spans="1:9">
      <c r="A45" s="347"/>
      <c r="B45" s="59"/>
      <c r="C45" s="59"/>
      <c r="D45" s="59"/>
      <c r="E45" s="59"/>
      <c r="F45" s="24"/>
      <c r="G45" s="59"/>
      <c r="H45" s="93"/>
      <c r="I45" s="60"/>
    </row>
    <row r="46" spans="1:9">
      <c r="A46" s="347"/>
      <c r="B46" s="59"/>
      <c r="C46" s="59"/>
      <c r="D46" s="59"/>
      <c r="E46" s="59"/>
      <c r="F46" s="59"/>
      <c r="G46" s="59"/>
      <c r="H46" s="82"/>
      <c r="I46" s="60"/>
    </row>
    <row r="47" spans="1:9">
      <c r="A47" s="347"/>
      <c r="B47" s="59"/>
      <c r="C47" s="59"/>
      <c r="D47" s="59"/>
      <c r="E47" s="59"/>
      <c r="F47" s="24"/>
      <c r="G47" s="59"/>
      <c r="H47" s="93"/>
      <c r="I47" s="60"/>
    </row>
    <row r="48" spans="1:9">
      <c r="A48" s="347"/>
      <c r="B48" s="59"/>
      <c r="C48" s="59"/>
      <c r="D48" s="59"/>
      <c r="E48" s="59"/>
      <c r="F48" s="59"/>
      <c r="G48" s="59"/>
      <c r="H48" s="82"/>
      <c r="I48" s="60"/>
    </row>
    <row r="49" spans="1:9">
      <c r="A49" s="347"/>
      <c r="B49" s="59"/>
      <c r="C49" s="59"/>
      <c r="D49" s="59"/>
      <c r="E49" s="59"/>
      <c r="F49" s="24"/>
      <c r="G49" s="59"/>
      <c r="H49" s="93"/>
      <c r="I49" s="60"/>
    </row>
    <row r="50" spans="1:9">
      <c r="A50" s="347"/>
      <c r="B50" s="59"/>
      <c r="C50" s="59"/>
      <c r="D50" s="59"/>
      <c r="E50" s="59"/>
      <c r="F50" s="59"/>
      <c r="G50" s="59"/>
      <c r="H50" s="82"/>
      <c r="I50" s="60"/>
    </row>
    <row r="51" spans="1:9">
      <c r="A51" s="347"/>
      <c r="B51" s="59"/>
      <c r="C51" s="59"/>
      <c r="D51" s="59"/>
      <c r="E51" s="59"/>
      <c r="F51" s="24"/>
      <c r="G51" s="59"/>
      <c r="H51" s="93"/>
      <c r="I51" s="60"/>
    </row>
    <row r="52" spans="1:9">
      <c r="A52" s="347"/>
      <c r="B52" s="59"/>
      <c r="C52" s="59"/>
      <c r="D52" s="59"/>
      <c r="E52" s="59"/>
      <c r="F52" s="59"/>
      <c r="G52" s="59"/>
      <c r="H52" s="82"/>
      <c r="I52" s="60"/>
    </row>
    <row r="53" spans="1:9">
      <c r="A53" s="347"/>
      <c r="B53" s="59"/>
      <c r="C53" s="59"/>
      <c r="D53" s="59"/>
      <c r="E53" s="59"/>
      <c r="F53" s="24"/>
      <c r="G53" s="59"/>
      <c r="H53" s="93"/>
      <c r="I53" s="60"/>
    </row>
    <row r="54" spans="1:9">
      <c r="A54" s="77" t="s">
        <v>268</v>
      </c>
      <c r="B54" s="140">
        <f>SUM(B13:B53)</f>
        <v>40997223.333333328</v>
      </c>
      <c r="C54" s="140">
        <f t="shared" ref="C54:I54" si="3">SUM(C13:C53)</f>
        <v>3351600</v>
      </c>
      <c r="D54" s="140">
        <f t="shared" si="3"/>
        <v>3562147.2583333333</v>
      </c>
      <c r="E54" s="140">
        <f t="shared" si="3"/>
        <v>2010960</v>
      </c>
      <c r="F54" s="140"/>
      <c r="G54" s="140">
        <f t="shared" si="3"/>
        <v>3193471.2583333333</v>
      </c>
      <c r="H54" s="140"/>
      <c r="I54" s="140">
        <f t="shared" si="3"/>
        <v>134064</v>
      </c>
    </row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  <ignoredErrors>
    <ignoredError sqref="B5:C8 G5:G8" unlockedFormula="1"/>
    <ignoredError sqref="D5:F8" formula="1" unlockedFormula="1"/>
  </ignoredErrors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K22"/>
  <sheetViews>
    <sheetView workbookViewId="0">
      <selection activeCell="N22" sqref="N22"/>
    </sheetView>
  </sheetViews>
  <sheetFormatPr baseColWidth="10" defaultRowHeight="12.75"/>
  <cols>
    <col min="2" max="2" width="4" customWidth="1"/>
    <col min="3" max="3" width="4.5703125" bestFit="1" customWidth="1"/>
    <col min="4" max="4" width="4.28515625" bestFit="1" customWidth="1"/>
    <col min="5" max="7" width="13.28515625" bestFit="1" customWidth="1"/>
    <col min="8" max="8" width="13.42578125" customWidth="1"/>
    <col min="9" max="9" width="13.28515625" bestFit="1" customWidth="1"/>
    <col min="10" max="10" width="11.7109375" bestFit="1" customWidth="1"/>
    <col min="11" max="11" width="13.28515625" bestFit="1" customWidth="1"/>
  </cols>
  <sheetData>
    <row r="2" spans="2:11" ht="25.5">
      <c r="B2" s="493" t="s">
        <v>540</v>
      </c>
      <c r="C2" s="493"/>
      <c r="D2" s="493"/>
      <c r="E2" s="344" t="s">
        <v>541</v>
      </c>
      <c r="F2" s="344" t="s">
        <v>536</v>
      </c>
      <c r="G2" s="344" t="s">
        <v>542</v>
      </c>
      <c r="H2" s="344" t="s">
        <v>543</v>
      </c>
      <c r="I2" s="344" t="s">
        <v>545</v>
      </c>
    </row>
    <row r="3" spans="2:11">
      <c r="B3" s="490">
        <f>'E-Inv AF y Am'!B8</f>
        <v>5586000</v>
      </c>
      <c r="C3" s="490"/>
      <c r="D3" s="490"/>
      <c r="E3" s="343">
        <f>InfoInicial!B37</f>
        <v>0.6</v>
      </c>
      <c r="F3" s="273">
        <f>B3*E3</f>
        <v>3351600</v>
      </c>
      <c r="G3" s="261">
        <v>0.02</v>
      </c>
      <c r="H3" s="273">
        <v>10</v>
      </c>
      <c r="I3" s="273">
        <f>InfoInicial!B35/2</f>
        <v>0.11</v>
      </c>
    </row>
    <row r="5" spans="2:11" ht="13.5" thickBot="1"/>
    <row r="6" spans="2:11" s="331" customFormat="1" ht="25.5">
      <c r="B6" s="340" t="s">
        <v>533</v>
      </c>
      <c r="C6" s="341" t="s">
        <v>534</v>
      </c>
      <c r="D6" s="341" t="s">
        <v>232</v>
      </c>
      <c r="E6" s="341" t="s">
        <v>530</v>
      </c>
      <c r="F6" s="341" t="s">
        <v>544</v>
      </c>
      <c r="G6" s="341" t="s">
        <v>545</v>
      </c>
      <c r="H6" s="341" t="s">
        <v>152</v>
      </c>
      <c r="I6" s="341" t="s">
        <v>532</v>
      </c>
      <c r="J6" s="341" t="s">
        <v>542</v>
      </c>
      <c r="K6" s="342" t="s">
        <v>546</v>
      </c>
    </row>
    <row r="7" spans="2:11">
      <c r="B7" s="335">
        <v>1</v>
      </c>
      <c r="C7" s="273">
        <v>6</v>
      </c>
      <c r="D7" s="273">
        <v>-1</v>
      </c>
      <c r="E7" s="332">
        <f>F3</f>
        <v>3351600</v>
      </c>
      <c r="F7" s="332"/>
      <c r="G7" s="332"/>
      <c r="H7" s="332"/>
      <c r="I7" s="332"/>
      <c r="J7" s="332">
        <f>E7*G3</f>
        <v>67032</v>
      </c>
      <c r="K7" s="336"/>
    </row>
    <row r="8" spans="2:11">
      <c r="B8" s="335">
        <v>31</v>
      </c>
      <c r="C8" s="273">
        <v>12</v>
      </c>
      <c r="D8" s="273">
        <v>-1</v>
      </c>
      <c r="E8" s="332">
        <f>E7</f>
        <v>3351600</v>
      </c>
      <c r="F8" s="332"/>
      <c r="G8" s="332">
        <f>E8*I3</f>
        <v>368676</v>
      </c>
      <c r="H8" s="332"/>
      <c r="I8" s="332"/>
      <c r="J8" s="332"/>
      <c r="K8" s="336"/>
    </row>
    <row r="9" spans="2:11">
      <c r="B9" s="335"/>
      <c r="C9" s="273"/>
      <c r="D9" s="333" t="s">
        <v>547</v>
      </c>
      <c r="E9" s="334"/>
      <c r="F9" s="334"/>
      <c r="G9" s="334">
        <f>G8</f>
        <v>368676</v>
      </c>
      <c r="H9" s="334"/>
      <c r="I9" s="334">
        <f>G8</f>
        <v>368676</v>
      </c>
      <c r="J9" s="334">
        <f>J7</f>
        <v>67032</v>
      </c>
      <c r="K9" s="337">
        <f>SUM(G9:J9)</f>
        <v>804384</v>
      </c>
    </row>
    <row r="10" spans="2:11">
      <c r="B10" s="335">
        <v>1</v>
      </c>
      <c r="C10" s="273">
        <v>1</v>
      </c>
      <c r="D10" s="273">
        <v>1</v>
      </c>
      <c r="E10" s="332">
        <f>E8</f>
        <v>3351600</v>
      </c>
      <c r="F10" s="332"/>
      <c r="G10" s="332"/>
      <c r="H10" s="332"/>
      <c r="I10" s="332"/>
      <c r="J10" s="332"/>
      <c r="K10" s="336"/>
    </row>
    <row r="11" spans="2:11">
      <c r="B11" s="335">
        <v>30</v>
      </c>
      <c r="C11" s="273">
        <v>6</v>
      </c>
      <c r="D11" s="273">
        <v>1</v>
      </c>
      <c r="E11" s="332">
        <f>E10-F11</f>
        <v>3016440</v>
      </c>
      <c r="F11" s="332">
        <f t="shared" ref="F11:F20" si="0">$F$3/$H$3</f>
        <v>335160</v>
      </c>
      <c r="G11" s="332">
        <f>E10*$I$3</f>
        <v>368676</v>
      </c>
      <c r="H11" s="332"/>
      <c r="I11" s="332"/>
      <c r="J11" s="332"/>
      <c r="K11" s="336">
        <f>F11+G11</f>
        <v>703836</v>
      </c>
    </row>
    <row r="12" spans="2:11">
      <c r="B12" s="335">
        <v>31</v>
      </c>
      <c r="C12" s="273">
        <v>12</v>
      </c>
      <c r="D12" s="273">
        <v>1</v>
      </c>
      <c r="E12" s="332">
        <f t="shared" ref="E12:E20" si="1">E11-F12</f>
        <v>2681280</v>
      </c>
      <c r="F12" s="332">
        <f t="shared" si="0"/>
        <v>335160</v>
      </c>
      <c r="G12" s="332">
        <f t="shared" ref="G12:G20" si="2">E11*$I$3</f>
        <v>331808.40000000002</v>
      </c>
      <c r="H12" s="332">
        <f>F11+F12</f>
        <v>670320</v>
      </c>
      <c r="I12" s="332">
        <f>G11+G12</f>
        <v>700484.4</v>
      </c>
      <c r="J12" s="332"/>
      <c r="K12" s="336">
        <f t="shared" ref="K12:K20" si="3">F12+G12</f>
        <v>666968.4</v>
      </c>
    </row>
    <row r="13" spans="2:11">
      <c r="B13" s="335">
        <v>30</v>
      </c>
      <c r="C13" s="273">
        <v>6</v>
      </c>
      <c r="D13" s="273">
        <v>2</v>
      </c>
      <c r="E13" s="332">
        <f t="shared" si="1"/>
        <v>2346120</v>
      </c>
      <c r="F13" s="332">
        <f t="shared" si="0"/>
        <v>335160</v>
      </c>
      <c r="G13" s="332">
        <f t="shared" si="2"/>
        <v>294940.79999999999</v>
      </c>
      <c r="H13" s="332"/>
      <c r="I13" s="332"/>
      <c r="J13" s="332"/>
      <c r="K13" s="336">
        <f t="shared" si="3"/>
        <v>630100.80000000005</v>
      </c>
    </row>
    <row r="14" spans="2:11">
      <c r="B14" s="335">
        <v>31</v>
      </c>
      <c r="C14" s="273">
        <v>12</v>
      </c>
      <c r="D14" s="273">
        <v>2</v>
      </c>
      <c r="E14" s="332">
        <f t="shared" si="1"/>
        <v>2010960</v>
      </c>
      <c r="F14" s="332">
        <f t="shared" si="0"/>
        <v>335160</v>
      </c>
      <c r="G14" s="332">
        <f t="shared" si="2"/>
        <v>258073.2</v>
      </c>
      <c r="H14" s="332">
        <f t="shared" ref="H14:H20" si="4">F13+F14</f>
        <v>670320</v>
      </c>
      <c r="I14" s="332">
        <f t="shared" ref="I14:I20" si="5">G13+G14</f>
        <v>553014</v>
      </c>
      <c r="J14" s="332"/>
      <c r="K14" s="336">
        <f t="shared" si="3"/>
        <v>593233.19999999995</v>
      </c>
    </row>
    <row r="15" spans="2:11">
      <c r="B15" s="335">
        <v>30</v>
      </c>
      <c r="C15" s="273">
        <v>6</v>
      </c>
      <c r="D15" s="273">
        <v>3</v>
      </c>
      <c r="E15" s="332">
        <f t="shared" si="1"/>
        <v>1675800</v>
      </c>
      <c r="F15" s="332">
        <f t="shared" si="0"/>
        <v>335160</v>
      </c>
      <c r="G15" s="332">
        <f t="shared" si="2"/>
        <v>221205.6</v>
      </c>
      <c r="H15" s="332"/>
      <c r="I15" s="332"/>
      <c r="J15" s="332"/>
      <c r="K15" s="336">
        <f t="shared" si="3"/>
        <v>556365.6</v>
      </c>
    </row>
    <row r="16" spans="2:11">
      <c r="B16" s="335">
        <v>31</v>
      </c>
      <c r="C16" s="273">
        <v>12</v>
      </c>
      <c r="D16" s="273">
        <v>3</v>
      </c>
      <c r="E16" s="332">
        <f t="shared" si="1"/>
        <v>1340640</v>
      </c>
      <c r="F16" s="332">
        <f t="shared" si="0"/>
        <v>335160</v>
      </c>
      <c r="G16" s="332">
        <f t="shared" si="2"/>
        <v>184338</v>
      </c>
      <c r="H16" s="332">
        <f t="shared" si="4"/>
        <v>670320</v>
      </c>
      <c r="I16" s="332">
        <f t="shared" si="5"/>
        <v>405543.6</v>
      </c>
      <c r="J16" s="332"/>
      <c r="K16" s="336">
        <f t="shared" si="3"/>
        <v>519498</v>
      </c>
    </row>
    <row r="17" spans="2:11">
      <c r="B17" s="335">
        <v>30</v>
      </c>
      <c r="C17" s="273">
        <v>6</v>
      </c>
      <c r="D17" s="273">
        <v>4</v>
      </c>
      <c r="E17" s="332">
        <f t="shared" si="1"/>
        <v>1005480</v>
      </c>
      <c r="F17" s="332">
        <f t="shared" si="0"/>
        <v>335160</v>
      </c>
      <c r="G17" s="332">
        <f t="shared" si="2"/>
        <v>147470.39999999999</v>
      </c>
      <c r="H17" s="332"/>
      <c r="I17" s="332"/>
      <c r="J17" s="332"/>
      <c r="K17" s="336">
        <f t="shared" si="3"/>
        <v>482630.40000000002</v>
      </c>
    </row>
    <row r="18" spans="2:11">
      <c r="B18" s="335">
        <v>31</v>
      </c>
      <c r="C18" s="273">
        <v>12</v>
      </c>
      <c r="D18" s="273">
        <v>4</v>
      </c>
      <c r="E18" s="332">
        <f t="shared" si="1"/>
        <v>670320</v>
      </c>
      <c r="F18" s="332">
        <f t="shared" si="0"/>
        <v>335160</v>
      </c>
      <c r="G18" s="332">
        <f t="shared" si="2"/>
        <v>110602.8</v>
      </c>
      <c r="H18" s="332">
        <f t="shared" si="4"/>
        <v>670320</v>
      </c>
      <c r="I18" s="332">
        <f t="shared" si="5"/>
        <v>258073.2</v>
      </c>
      <c r="J18" s="332"/>
      <c r="K18" s="336">
        <f t="shared" si="3"/>
        <v>445762.8</v>
      </c>
    </row>
    <row r="19" spans="2:11">
      <c r="B19" s="335">
        <v>30</v>
      </c>
      <c r="C19" s="273">
        <v>6</v>
      </c>
      <c r="D19" s="273">
        <v>5</v>
      </c>
      <c r="E19" s="332">
        <f t="shared" si="1"/>
        <v>335160</v>
      </c>
      <c r="F19" s="332">
        <f t="shared" si="0"/>
        <v>335160</v>
      </c>
      <c r="G19" s="332">
        <f t="shared" si="2"/>
        <v>73735.199999999997</v>
      </c>
      <c r="H19" s="332"/>
      <c r="I19" s="332"/>
      <c r="J19" s="332"/>
      <c r="K19" s="336">
        <f t="shared" si="3"/>
        <v>408895.2</v>
      </c>
    </row>
    <row r="20" spans="2:11">
      <c r="B20" s="335">
        <v>31</v>
      </c>
      <c r="C20" s="273">
        <v>12</v>
      </c>
      <c r="D20" s="273">
        <v>5</v>
      </c>
      <c r="E20" s="332">
        <f t="shared" si="1"/>
        <v>0</v>
      </c>
      <c r="F20" s="332">
        <f t="shared" si="0"/>
        <v>335160</v>
      </c>
      <c r="G20" s="332">
        <f t="shared" si="2"/>
        <v>36867.599999999999</v>
      </c>
      <c r="H20" s="332">
        <f t="shared" si="4"/>
        <v>670320</v>
      </c>
      <c r="I20" s="332">
        <f t="shared" si="5"/>
        <v>110602.79999999999</v>
      </c>
      <c r="J20" s="332"/>
      <c r="K20" s="336">
        <f t="shared" si="3"/>
        <v>372027.6</v>
      </c>
    </row>
    <row r="21" spans="2:11" ht="13.5" thickBot="1">
      <c r="B21" s="494" t="s">
        <v>193</v>
      </c>
      <c r="C21" s="495"/>
      <c r="D21" s="495"/>
      <c r="E21" s="495"/>
      <c r="F21" s="338">
        <f t="shared" ref="F21:K21" ca="1" si="6">SUM(F7:F22)</f>
        <v>3351600</v>
      </c>
      <c r="G21" s="338">
        <f t="shared" ca="1" si="6"/>
        <v>2765070</v>
      </c>
      <c r="H21" s="338">
        <f t="shared" ca="1" si="6"/>
        <v>3351600</v>
      </c>
      <c r="I21" s="338">
        <f t="shared" ca="1" si="6"/>
        <v>2396394</v>
      </c>
      <c r="J21" s="338">
        <f t="shared" ca="1" si="6"/>
        <v>134064</v>
      </c>
      <c r="K21" s="339">
        <f t="shared" ca="1" si="6"/>
        <v>6183702</v>
      </c>
    </row>
    <row r="22" spans="2:11">
      <c r="B22" s="99"/>
      <c r="C22" s="99"/>
      <c r="D22" s="99"/>
      <c r="E22" s="348"/>
      <c r="F22" s="348"/>
      <c r="G22" s="348"/>
      <c r="H22" s="348"/>
      <c r="I22" s="348"/>
      <c r="J22" s="348"/>
      <c r="K22" s="348"/>
    </row>
  </sheetData>
  <mergeCells count="3">
    <mergeCell ref="B2:D2"/>
    <mergeCell ref="B3:D3"/>
    <mergeCell ref="B21:E2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1:O23"/>
  <sheetViews>
    <sheetView workbookViewId="0">
      <selection activeCell="F23" sqref="F23"/>
    </sheetView>
  </sheetViews>
  <sheetFormatPr baseColWidth="10" defaultRowHeight="12.75"/>
  <cols>
    <col min="2" max="4" width="11.42578125" customWidth="1"/>
    <col min="9" max="9" width="3.7109375" bestFit="1" customWidth="1"/>
    <col min="10" max="10" width="4.5703125" bestFit="1" customWidth="1"/>
    <col min="11" max="11" width="4.28515625" bestFit="1" customWidth="1"/>
    <col min="12" max="12" width="11.7109375" bestFit="1" customWidth="1"/>
    <col min="13" max="13" width="11.5703125" bestFit="1" customWidth="1"/>
    <col min="14" max="14" width="11.7109375" bestFit="1" customWidth="1"/>
  </cols>
  <sheetData>
    <row r="1" spans="2:15" ht="12.75" customHeight="1">
      <c r="B1" s="490" t="s">
        <v>383</v>
      </c>
      <c r="C1" s="497" t="s">
        <v>535</v>
      </c>
      <c r="D1" s="490" t="s">
        <v>536</v>
      </c>
      <c r="E1" s="490" t="s">
        <v>537</v>
      </c>
      <c r="F1" s="490" t="s">
        <v>539</v>
      </c>
    </row>
    <row r="2" spans="2:15" ht="12.75" customHeight="1">
      <c r="B2" s="490"/>
      <c r="C2" s="497"/>
      <c r="D2" s="490"/>
      <c r="E2" s="490"/>
      <c r="F2" s="490"/>
      <c r="I2" s="493" t="s">
        <v>533</v>
      </c>
      <c r="J2" s="493" t="s">
        <v>534</v>
      </c>
      <c r="K2" s="493" t="s">
        <v>232</v>
      </c>
      <c r="L2" s="493" t="s">
        <v>530</v>
      </c>
      <c r="M2" s="496" t="s">
        <v>531</v>
      </c>
      <c r="N2" s="496" t="s">
        <v>545</v>
      </c>
      <c r="O2" s="496" t="s">
        <v>532</v>
      </c>
    </row>
    <row r="3" spans="2:15" ht="12.75" customHeight="1">
      <c r="B3" s="273" t="s">
        <v>429</v>
      </c>
      <c r="C3" s="273">
        <f>'Consumo MP'!$Q$39</f>
        <v>832456.66666666663</v>
      </c>
      <c r="D3" s="273">
        <f>C3*InfoInicial!$B$40</f>
        <v>499473.99999999994</v>
      </c>
      <c r="E3" s="273" t="s">
        <v>432</v>
      </c>
      <c r="F3" s="273">
        <f>D3*InfoInicial!$B$41/4</f>
        <v>24973.699999999997</v>
      </c>
      <c r="I3" s="493"/>
      <c r="J3" s="493"/>
      <c r="K3" s="493"/>
      <c r="L3" s="493"/>
      <c r="M3" s="496"/>
      <c r="N3" s="496"/>
      <c r="O3" s="496"/>
    </row>
    <row r="4" spans="2:15">
      <c r="I4" s="273">
        <v>31</v>
      </c>
      <c r="J4" s="273">
        <v>3</v>
      </c>
      <c r="K4" s="273">
        <v>1</v>
      </c>
      <c r="L4" s="332">
        <f>$C$3</f>
        <v>832456.66666666663</v>
      </c>
      <c r="M4" s="332">
        <f>F3*(3/12)</f>
        <v>6243.4249999999993</v>
      </c>
      <c r="N4" s="273"/>
      <c r="O4" s="332"/>
    </row>
    <row r="5" spans="2:15">
      <c r="I5" s="273">
        <v>30</v>
      </c>
      <c r="J5" s="273">
        <v>6</v>
      </c>
      <c r="K5" s="273">
        <v>1</v>
      </c>
      <c r="L5" s="332">
        <f t="shared" ref="L5:L23" si="0">$C$3</f>
        <v>832456.66666666663</v>
      </c>
      <c r="M5" s="332">
        <f>$C$9</f>
        <v>41622.833333333336</v>
      </c>
      <c r="N5" s="332">
        <f>M4+M5</f>
        <v>47866.258333333331</v>
      </c>
      <c r="O5" s="332"/>
    </row>
    <row r="6" spans="2:15">
      <c r="I6" s="273">
        <v>30</v>
      </c>
      <c r="J6" s="273">
        <v>9</v>
      </c>
      <c r="K6" s="273">
        <v>1</v>
      </c>
      <c r="L6" s="332">
        <f t="shared" si="0"/>
        <v>832456.66666666663</v>
      </c>
      <c r="M6" s="332">
        <f t="shared" ref="M6:M23" si="1">$C$9</f>
        <v>41622.833333333336</v>
      </c>
      <c r="N6" s="332"/>
      <c r="O6" s="332"/>
    </row>
    <row r="7" spans="2:15">
      <c r="I7" s="273">
        <v>31</v>
      </c>
      <c r="J7" s="273">
        <v>12</v>
      </c>
      <c r="K7" s="273">
        <v>1</v>
      </c>
      <c r="L7" s="332">
        <f t="shared" si="0"/>
        <v>832456.66666666663</v>
      </c>
      <c r="M7" s="332">
        <f t="shared" si="1"/>
        <v>41622.833333333336</v>
      </c>
      <c r="N7" s="332">
        <f t="shared" ref="N7:N23" si="2">M6+M7</f>
        <v>83245.666666666672</v>
      </c>
      <c r="O7" s="332">
        <f>SUM(M4:M7)</f>
        <v>131111.92500000002</v>
      </c>
    </row>
    <row r="8" spans="2:15">
      <c r="B8" s="330" t="s">
        <v>548</v>
      </c>
      <c r="C8">
        <f>C3*InfoInicial!B41</f>
        <v>166491.33333333334</v>
      </c>
      <c r="I8" s="273">
        <v>31</v>
      </c>
      <c r="J8" s="273">
        <v>3</v>
      </c>
      <c r="K8" s="273">
        <v>2</v>
      </c>
      <c r="L8" s="332">
        <f t="shared" si="0"/>
        <v>832456.66666666663</v>
      </c>
      <c r="M8" s="332">
        <f t="shared" si="1"/>
        <v>41622.833333333336</v>
      </c>
      <c r="N8" s="332"/>
      <c r="O8" s="332"/>
    </row>
    <row r="9" spans="2:15">
      <c r="B9" s="330" t="s">
        <v>531</v>
      </c>
      <c r="C9">
        <f>C8/4</f>
        <v>41622.833333333336</v>
      </c>
      <c r="I9" s="273">
        <v>30</v>
      </c>
      <c r="J9" s="273">
        <v>6</v>
      </c>
      <c r="K9" s="273">
        <v>2</v>
      </c>
      <c r="L9" s="332">
        <f t="shared" si="0"/>
        <v>832456.66666666663</v>
      </c>
      <c r="M9" s="332">
        <f t="shared" si="1"/>
        <v>41622.833333333336</v>
      </c>
      <c r="N9" s="332">
        <f t="shared" si="2"/>
        <v>83245.666666666672</v>
      </c>
      <c r="O9" s="332"/>
    </row>
    <row r="10" spans="2:15">
      <c r="I10" s="273">
        <v>30</v>
      </c>
      <c r="J10" s="273">
        <v>9</v>
      </c>
      <c r="K10" s="273">
        <v>2</v>
      </c>
      <c r="L10" s="332">
        <f t="shared" si="0"/>
        <v>832456.66666666663</v>
      </c>
      <c r="M10" s="332">
        <f t="shared" si="1"/>
        <v>41622.833333333336</v>
      </c>
      <c r="N10" s="332"/>
      <c r="O10" s="332"/>
    </row>
    <row r="11" spans="2:15">
      <c r="I11" s="273">
        <v>31</v>
      </c>
      <c r="J11" s="273">
        <v>12</v>
      </c>
      <c r="K11" s="273">
        <v>2</v>
      </c>
      <c r="L11" s="332">
        <f t="shared" si="0"/>
        <v>832456.66666666663</v>
      </c>
      <c r="M11" s="332">
        <f t="shared" si="1"/>
        <v>41622.833333333336</v>
      </c>
      <c r="N11" s="332">
        <f t="shared" si="2"/>
        <v>83245.666666666672</v>
      </c>
      <c r="O11" s="332">
        <f>SUM(M8:M11)</f>
        <v>166491.33333333334</v>
      </c>
    </row>
    <row r="12" spans="2:15">
      <c r="I12" s="273">
        <v>31</v>
      </c>
      <c r="J12" s="273">
        <v>3</v>
      </c>
      <c r="K12" s="273">
        <v>3</v>
      </c>
      <c r="L12" s="332">
        <f t="shared" si="0"/>
        <v>832456.66666666663</v>
      </c>
      <c r="M12" s="332">
        <f t="shared" si="1"/>
        <v>41622.833333333336</v>
      </c>
      <c r="N12" s="332"/>
      <c r="O12" s="332"/>
    </row>
    <row r="13" spans="2:15">
      <c r="I13" s="273">
        <v>30</v>
      </c>
      <c r="J13" s="273">
        <v>6</v>
      </c>
      <c r="K13" s="273">
        <v>3</v>
      </c>
      <c r="L13" s="332">
        <f t="shared" si="0"/>
        <v>832456.66666666663</v>
      </c>
      <c r="M13" s="332">
        <f t="shared" si="1"/>
        <v>41622.833333333336</v>
      </c>
      <c r="N13" s="332">
        <f t="shared" si="2"/>
        <v>83245.666666666672</v>
      </c>
      <c r="O13" s="332"/>
    </row>
    <row r="14" spans="2:15">
      <c r="I14" s="273">
        <v>30</v>
      </c>
      <c r="J14" s="273">
        <v>9</v>
      </c>
      <c r="K14" s="273">
        <v>3</v>
      </c>
      <c r="L14" s="332">
        <f t="shared" si="0"/>
        <v>832456.66666666663</v>
      </c>
      <c r="M14" s="332">
        <f t="shared" si="1"/>
        <v>41622.833333333336</v>
      </c>
      <c r="N14" s="332"/>
      <c r="O14" s="332"/>
    </row>
    <row r="15" spans="2:15">
      <c r="I15" s="273">
        <v>31</v>
      </c>
      <c r="J15" s="273">
        <v>12</v>
      </c>
      <c r="K15" s="273">
        <v>3</v>
      </c>
      <c r="L15" s="332">
        <f t="shared" si="0"/>
        <v>832456.66666666663</v>
      </c>
      <c r="M15" s="332">
        <f t="shared" si="1"/>
        <v>41622.833333333336</v>
      </c>
      <c r="N15" s="332">
        <f t="shared" si="2"/>
        <v>83245.666666666672</v>
      </c>
      <c r="O15" s="332">
        <f>SUM(M12:M15)</f>
        <v>166491.33333333334</v>
      </c>
    </row>
    <row r="16" spans="2:15">
      <c r="I16" s="273">
        <v>31</v>
      </c>
      <c r="J16" s="273">
        <v>3</v>
      </c>
      <c r="K16" s="273">
        <v>4</v>
      </c>
      <c r="L16" s="332">
        <f t="shared" si="0"/>
        <v>832456.66666666663</v>
      </c>
      <c r="M16" s="332">
        <f t="shared" si="1"/>
        <v>41622.833333333336</v>
      </c>
      <c r="N16" s="332"/>
      <c r="O16" s="332"/>
    </row>
    <row r="17" spans="9:15">
      <c r="I17" s="273">
        <v>30</v>
      </c>
      <c r="J17" s="273">
        <v>6</v>
      </c>
      <c r="K17" s="273">
        <v>4</v>
      </c>
      <c r="L17" s="332">
        <f t="shared" si="0"/>
        <v>832456.66666666663</v>
      </c>
      <c r="M17" s="332">
        <f t="shared" si="1"/>
        <v>41622.833333333336</v>
      </c>
      <c r="N17" s="332">
        <f t="shared" si="2"/>
        <v>83245.666666666672</v>
      </c>
      <c r="O17" s="332"/>
    </row>
    <row r="18" spans="9:15">
      <c r="I18" s="273">
        <v>30</v>
      </c>
      <c r="J18" s="273">
        <v>9</v>
      </c>
      <c r="K18" s="273">
        <v>4</v>
      </c>
      <c r="L18" s="332">
        <f t="shared" si="0"/>
        <v>832456.66666666663</v>
      </c>
      <c r="M18" s="332">
        <f t="shared" si="1"/>
        <v>41622.833333333336</v>
      </c>
      <c r="N18" s="332"/>
      <c r="O18" s="332"/>
    </row>
    <row r="19" spans="9:15">
      <c r="I19" s="273">
        <v>31</v>
      </c>
      <c r="J19" s="273">
        <v>12</v>
      </c>
      <c r="K19" s="273">
        <v>4</v>
      </c>
      <c r="L19" s="332">
        <f t="shared" si="0"/>
        <v>832456.66666666663</v>
      </c>
      <c r="M19" s="332">
        <f t="shared" si="1"/>
        <v>41622.833333333336</v>
      </c>
      <c r="N19" s="332">
        <f t="shared" si="2"/>
        <v>83245.666666666672</v>
      </c>
      <c r="O19" s="332">
        <f>SUM(M16:M19)</f>
        <v>166491.33333333334</v>
      </c>
    </row>
    <row r="20" spans="9:15">
      <c r="I20" s="273">
        <v>31</v>
      </c>
      <c r="J20" s="273">
        <v>3</v>
      </c>
      <c r="K20" s="273">
        <v>5</v>
      </c>
      <c r="L20" s="332">
        <f t="shared" si="0"/>
        <v>832456.66666666663</v>
      </c>
      <c r="M20" s="332">
        <f t="shared" si="1"/>
        <v>41622.833333333336</v>
      </c>
      <c r="N20" s="332"/>
      <c r="O20" s="332"/>
    </row>
    <row r="21" spans="9:15">
      <c r="I21" s="273">
        <v>30</v>
      </c>
      <c r="J21" s="273">
        <v>6</v>
      </c>
      <c r="K21" s="273">
        <v>5</v>
      </c>
      <c r="L21" s="332">
        <f t="shared" si="0"/>
        <v>832456.66666666663</v>
      </c>
      <c r="M21" s="332">
        <f t="shared" si="1"/>
        <v>41622.833333333336</v>
      </c>
      <c r="N21" s="332">
        <f t="shared" si="2"/>
        <v>83245.666666666672</v>
      </c>
      <c r="O21" s="332"/>
    </row>
    <row r="22" spans="9:15">
      <c r="I22" s="273">
        <v>30</v>
      </c>
      <c r="J22" s="273">
        <v>9</v>
      </c>
      <c r="K22" s="273">
        <v>5</v>
      </c>
      <c r="L22" s="332">
        <f t="shared" si="0"/>
        <v>832456.66666666663</v>
      </c>
      <c r="M22" s="332">
        <f t="shared" si="1"/>
        <v>41622.833333333336</v>
      </c>
      <c r="N22" s="332"/>
      <c r="O22" s="332"/>
    </row>
    <row r="23" spans="9:15">
      <c r="I23" s="273">
        <v>31</v>
      </c>
      <c r="J23" s="273">
        <v>12</v>
      </c>
      <c r="K23" s="273">
        <v>5</v>
      </c>
      <c r="L23" s="332">
        <f t="shared" si="0"/>
        <v>832456.66666666663</v>
      </c>
      <c r="M23" s="332">
        <f t="shared" si="1"/>
        <v>41622.833333333336</v>
      </c>
      <c r="N23" s="332">
        <f t="shared" si="2"/>
        <v>83245.666666666672</v>
      </c>
      <c r="O23" s="332">
        <f>SUM(M20:M23)</f>
        <v>166491.33333333334</v>
      </c>
    </row>
  </sheetData>
  <mergeCells count="12">
    <mergeCell ref="O2:O3"/>
    <mergeCell ref="C1:C2"/>
    <mergeCell ref="B1:B2"/>
    <mergeCell ref="D1:D2"/>
    <mergeCell ref="E1:E2"/>
    <mergeCell ref="F1:F2"/>
    <mergeCell ref="I2:I3"/>
    <mergeCell ref="J2:J3"/>
    <mergeCell ref="K2:K3"/>
    <mergeCell ref="L2:L3"/>
    <mergeCell ref="N2:N3"/>
    <mergeCell ref="M2:M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workbookViewId="0">
      <selection activeCell="C22" sqref="C22"/>
    </sheetView>
  </sheetViews>
  <sheetFormatPr baseColWidth="10" defaultColWidth="11.42578125" defaultRowHeight="12.75"/>
  <cols>
    <col min="1" max="1" width="32.140625" style="162" customWidth="1"/>
    <col min="2" max="2" width="15.7109375" style="162" customWidth="1"/>
    <col min="3" max="4" width="15.140625" style="162" customWidth="1"/>
    <col min="5" max="5" width="15" style="162" customWidth="1"/>
    <col min="6" max="6" width="15.140625" style="162" customWidth="1"/>
    <col min="7" max="7" width="15.85546875" style="162" bestFit="1" customWidth="1"/>
    <col min="8" max="8" width="17.42578125" style="162" customWidth="1"/>
    <col min="9" max="16384" width="11.42578125" style="162"/>
  </cols>
  <sheetData>
    <row r="1" spans="1:7">
      <c r="A1" s="1" t="s">
        <v>0</v>
      </c>
      <c r="B1"/>
      <c r="C1"/>
      <c r="D1"/>
      <c r="E1" s="136"/>
      <c r="F1" s="2">
        <f>InfoInicial!E1</f>
        <v>0</v>
      </c>
    </row>
    <row r="2" spans="1:7" ht="15.75">
      <c r="A2" s="163" t="s">
        <v>269</v>
      </c>
      <c r="B2" s="164"/>
      <c r="C2" s="164"/>
      <c r="D2" s="164"/>
      <c r="E2" s="164"/>
      <c r="F2" s="164"/>
      <c r="G2" s="165"/>
    </row>
    <row r="3" spans="1:7">
      <c r="A3" s="166" t="s">
        <v>89</v>
      </c>
      <c r="B3" s="167" t="s">
        <v>49</v>
      </c>
      <c r="C3" s="167" t="s">
        <v>90</v>
      </c>
      <c r="D3" s="167" t="s">
        <v>91</v>
      </c>
      <c r="E3" s="167" t="s">
        <v>92</v>
      </c>
      <c r="F3" s="168" t="s">
        <v>93</v>
      </c>
      <c r="G3" s="169" t="s">
        <v>193</v>
      </c>
    </row>
    <row r="4" spans="1:7">
      <c r="A4" s="162" t="s">
        <v>270</v>
      </c>
      <c r="B4" s="345">
        <f>'E-Costos'!B87</f>
        <v>29246608.695652176</v>
      </c>
      <c r="C4" s="345">
        <f>'E-Costos'!C87</f>
        <v>33600000</v>
      </c>
      <c r="D4" s="345">
        <f>'E-Costos'!D87</f>
        <v>33600000</v>
      </c>
      <c r="E4" s="345">
        <f>'E-Costos'!E87</f>
        <v>33600000</v>
      </c>
      <c r="F4" s="345">
        <f>'E-Costos'!F87</f>
        <v>33600000</v>
      </c>
      <c r="G4" s="60">
        <f>SUM(B4:F4)</f>
        <v>163646608.69565219</v>
      </c>
    </row>
    <row r="5" spans="1:7">
      <c r="A5" s="162" t="s">
        <v>271</v>
      </c>
      <c r="B5" s="345">
        <f>'E-Costos'!B106</f>
        <v>13394563.532687064</v>
      </c>
      <c r="C5" s="345">
        <f>'E-Costos'!C106</f>
        <v>14680380.210420728</v>
      </c>
      <c r="D5" s="345">
        <f>'E-Costos'!D106</f>
        <v>14680380.210420728</v>
      </c>
      <c r="E5" s="345">
        <f>'E-Costos'!E106</f>
        <v>14666946.917413877</v>
      </c>
      <c r="F5" s="345">
        <f>'E-Costos'!F106</f>
        <v>14666946.917413877</v>
      </c>
      <c r="G5" s="60">
        <f t="shared" ref="G5:G14" si="0">SUM(B5:F5)</f>
        <v>72089217.788356274</v>
      </c>
    </row>
    <row r="6" spans="1:7">
      <c r="A6" s="162" t="s">
        <v>272</v>
      </c>
      <c r="B6" s="345">
        <f>B4-B5</f>
        <v>15852045.162965111</v>
      </c>
      <c r="C6" s="345">
        <f>C4-C5</f>
        <v>18919619.789579272</v>
      </c>
      <c r="D6" s="345">
        <f>D4-D5</f>
        <v>18919619.789579272</v>
      </c>
      <c r="E6" s="345">
        <f>E4-E5</f>
        <v>18933053.082586125</v>
      </c>
      <c r="F6" s="345">
        <f>F4-F5</f>
        <v>18933053.082586125</v>
      </c>
      <c r="G6" s="60">
        <f t="shared" si="0"/>
        <v>91557390.907295898</v>
      </c>
    </row>
    <row r="7" spans="1:7">
      <c r="A7" s="162" t="s">
        <v>115</v>
      </c>
      <c r="B7" s="80"/>
      <c r="C7" s="80"/>
      <c r="D7" s="80"/>
      <c r="E7" s="80"/>
      <c r="F7" s="110"/>
      <c r="G7" s="60"/>
    </row>
    <row r="8" spans="1:7">
      <c r="A8" s="162" t="s">
        <v>273</v>
      </c>
      <c r="B8" s="345">
        <f>'E-Costos'!B108</f>
        <v>896366.85779504548</v>
      </c>
      <c r="C8" s="345">
        <f>'E-Costos'!C108</f>
        <v>984434.77715630236</v>
      </c>
      <c r="D8" s="345">
        <f>'E-Costos'!D108</f>
        <v>984434.77715630236</v>
      </c>
      <c r="E8" s="345">
        <f>'E-Costos'!E108</f>
        <v>983680.94477656903</v>
      </c>
      <c r="F8" s="345">
        <f>'E-Costos'!F108</f>
        <v>983680.94477656903</v>
      </c>
      <c r="G8" s="60">
        <f t="shared" si="0"/>
        <v>4832598.3016607882</v>
      </c>
    </row>
    <row r="9" spans="1:7">
      <c r="A9" s="162" t="s">
        <v>274</v>
      </c>
      <c r="B9" s="345">
        <f>'E-Costos'!B109</f>
        <v>2229582.515532108</v>
      </c>
      <c r="C9" s="345">
        <f>'E-Costos'!C109</f>
        <v>2472023.2189745721</v>
      </c>
      <c r="D9" s="345">
        <f>'E-Costos'!D109</f>
        <v>2472023.2189745721</v>
      </c>
      <c r="E9" s="345">
        <f>'E-Costos'!E109</f>
        <v>2471101.7390981135</v>
      </c>
      <c r="F9" s="345">
        <f>'E-Costos'!F109</f>
        <v>2471101.7390981135</v>
      </c>
      <c r="G9" s="60">
        <f t="shared" si="0"/>
        <v>12115832.431677477</v>
      </c>
    </row>
    <row r="10" spans="1:7">
      <c r="A10" s="162" t="s">
        <v>275</v>
      </c>
      <c r="B10" s="59">
        <f>'F-Cred'!G21+'F-Cred'!I21+'F-Cred'!G24</f>
        <v>1267304.325</v>
      </c>
      <c r="C10" s="59">
        <f>'F-Cred'!G26</f>
        <v>719505.33333333337</v>
      </c>
      <c r="D10" s="59">
        <f>'F-Cred'!G28</f>
        <v>572034.93333333335</v>
      </c>
      <c r="E10" s="59">
        <f>'F-Cred'!G30</f>
        <v>424564.53333333333</v>
      </c>
      <c r="F10" s="109">
        <f>'F-Cred'!G32</f>
        <v>277094.1333333333</v>
      </c>
      <c r="G10" s="60">
        <f t="shared" si="0"/>
        <v>3260503.2583333333</v>
      </c>
    </row>
    <row r="11" spans="1:7">
      <c r="A11" s="170" t="s">
        <v>276</v>
      </c>
      <c r="B11" s="59">
        <f>B6-B8-B9-B10</f>
        <v>11458791.464637959</v>
      </c>
      <c r="C11" s="59">
        <f>C6-C8-C9-C10</f>
        <v>14743656.460115066</v>
      </c>
      <c r="D11" s="59">
        <f>D6-D8-D9-D10</f>
        <v>14891126.860115066</v>
      </c>
      <c r="E11" s="59">
        <f>E6-E8-E9-E10</f>
        <v>15053705.86537811</v>
      </c>
      <c r="F11" s="59">
        <f>F6-F8-F9-F10</f>
        <v>15201176.26537811</v>
      </c>
      <c r="G11" s="60">
        <f t="shared" si="0"/>
        <v>71348456.915624321</v>
      </c>
    </row>
    <row r="12" spans="1:7">
      <c r="A12" s="162" t="s">
        <v>277</v>
      </c>
      <c r="B12" s="59">
        <f>'E-Costos'!B116</f>
        <v>381782.87368913868</v>
      </c>
      <c r="C12" s="59">
        <f>'E-Costos'!C116</f>
        <v>463894.85380345187</v>
      </c>
      <c r="D12" s="59">
        <f>'E-Costos'!D116</f>
        <v>463894.85380345187</v>
      </c>
      <c r="E12" s="59">
        <f>'E-Costos'!E116</f>
        <v>464348.11196134315</v>
      </c>
      <c r="F12" s="59">
        <f>'E-Costos'!F116</f>
        <v>464348.11196134315</v>
      </c>
      <c r="G12" s="60">
        <f t="shared" si="0"/>
        <v>2238268.8052187287</v>
      </c>
    </row>
    <row r="13" spans="1:7">
      <c r="A13" s="171" t="s">
        <v>278</v>
      </c>
      <c r="B13" s="59">
        <f>(B11-B12)*InfoInicial!$B$4</f>
        <v>3876953.0068320869</v>
      </c>
      <c r="C13" s="59">
        <f>(C11-C12)*InfoInicial!$B$4</f>
        <v>4997916.5622090641</v>
      </c>
      <c r="D13" s="59">
        <f>(D11-D12)*InfoInicial!$B$4</f>
        <v>5049531.2022090647</v>
      </c>
      <c r="E13" s="59">
        <f>(E11-E12)*InfoInicial!$B$4</f>
        <v>5106275.2136958679</v>
      </c>
      <c r="F13" s="59">
        <f>(F11-F12)*InfoInicial!$B$4</f>
        <v>5157889.8536958685</v>
      </c>
      <c r="G13" s="60">
        <f t="shared" si="0"/>
        <v>24188565.838641953</v>
      </c>
    </row>
    <row r="14" spans="1:7">
      <c r="A14" s="172" t="s">
        <v>279</v>
      </c>
      <c r="B14" s="64">
        <f>B11-B12-B13</f>
        <v>7200055.5841167327</v>
      </c>
      <c r="C14" s="64">
        <f>C11-C12-C13</f>
        <v>9281845.0441025496</v>
      </c>
      <c r="D14" s="64">
        <f>D11-D12-D13</f>
        <v>9377700.8041025493</v>
      </c>
      <c r="E14" s="64">
        <f>E11-E12-E13</f>
        <v>9483082.5397209004</v>
      </c>
      <c r="F14" s="64">
        <f>F11-F12-F13</f>
        <v>9578938.2997208983</v>
      </c>
      <c r="G14" s="60">
        <f t="shared" si="0"/>
        <v>44921622.27176363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  <ignoredErrors>
    <ignoredError sqref="B4:G14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57"/>
  <sheetViews>
    <sheetView workbookViewId="0">
      <selection activeCell="G29" sqref="G29"/>
    </sheetView>
  </sheetViews>
  <sheetFormatPr baseColWidth="10" defaultColWidth="9.140625" defaultRowHeight="12.75"/>
  <cols>
    <col min="1" max="1" width="54.42578125" style="162" customWidth="1"/>
    <col min="2" max="2" width="15.85546875" style="162" customWidth="1"/>
    <col min="3" max="3" width="15.28515625" style="162" customWidth="1"/>
    <col min="4" max="4" width="16.5703125" style="162" customWidth="1"/>
    <col min="5" max="5" width="16.28515625" style="162" customWidth="1"/>
    <col min="6" max="6" width="14.5703125" style="162" customWidth="1"/>
    <col min="7" max="7" width="11.42578125" style="162" customWidth="1"/>
    <col min="8" max="8" width="18.7109375" style="162" customWidth="1"/>
    <col min="9" max="10" width="16.5703125" style="162" customWidth="1"/>
    <col min="11" max="250" width="11.42578125" style="162" customWidth="1"/>
    <col min="251" max="256" width="11.42578125" customWidth="1"/>
  </cols>
  <sheetData>
    <row r="1" spans="1:8">
      <c r="A1" s="1" t="s">
        <v>0</v>
      </c>
      <c r="B1"/>
      <c r="C1"/>
      <c r="D1">
        <f>InfoInicial!E1</f>
        <v>0</v>
      </c>
      <c r="E1" s="2"/>
    </row>
    <row r="2" spans="1:8" ht="15.75">
      <c r="A2" s="163" t="s">
        <v>280</v>
      </c>
      <c r="B2" s="164"/>
      <c r="C2" s="164"/>
      <c r="D2" s="165"/>
    </row>
    <row r="3" spans="1:8">
      <c r="A3" s="166" t="s">
        <v>89</v>
      </c>
      <c r="B3" s="173" t="s">
        <v>48</v>
      </c>
      <c r="C3" s="173" t="s">
        <v>49</v>
      </c>
      <c r="D3" s="169" t="s">
        <v>193</v>
      </c>
    </row>
    <row r="4" spans="1:8">
      <c r="A4" s="170" t="s">
        <v>281</v>
      </c>
      <c r="B4" s="80"/>
      <c r="C4" s="80"/>
      <c r="D4" s="81"/>
    </row>
    <row r="5" spans="1:8">
      <c r="B5" s="59"/>
      <c r="C5" s="59"/>
      <c r="D5" s="60"/>
    </row>
    <row r="6" spans="1:8">
      <c r="A6" s="162" t="s">
        <v>282</v>
      </c>
      <c r="B6" s="59">
        <f>'E-Inv AF y Am'!F20</f>
        <v>23941975.1446</v>
      </c>
      <c r="C6" s="59"/>
      <c r="D6" s="60">
        <f>SUM(B6:C6)</f>
        <v>23941975.1446</v>
      </c>
    </row>
    <row r="7" spans="1:8">
      <c r="A7" s="162" t="s">
        <v>283</v>
      </c>
      <c r="B7" s="59">
        <f>'E-Inv AF y Am'!B31+'F-Cred'!K21</f>
        <v>466908</v>
      </c>
      <c r="C7" s="59">
        <f>'E-Inv AF y Am'!C31</f>
        <v>0</v>
      </c>
      <c r="D7" s="60">
        <f>SUM(B7:C7)</f>
        <v>466908</v>
      </c>
      <c r="E7" s="162" t="s">
        <v>551</v>
      </c>
      <c r="H7" s="349">
        <f>D7-'E-Inv AF y Am'!F31</f>
        <v>435708</v>
      </c>
    </row>
    <row r="8" spans="1:8">
      <c r="A8" s="170" t="s">
        <v>284</v>
      </c>
      <c r="B8" s="59">
        <f>SUM(B6:B7)</f>
        <v>24408883.1446</v>
      </c>
      <c r="C8" s="59">
        <f>SUM(C6:C7)</f>
        <v>0</v>
      </c>
      <c r="D8" s="60">
        <f>SUM(B8:C8)</f>
        <v>24408883.1446</v>
      </c>
    </row>
    <row r="9" spans="1:8">
      <c r="A9" s="171" t="s">
        <v>285</v>
      </c>
      <c r="B9" s="59">
        <f>B8*InfoInicial!B3</f>
        <v>5125865.4603659995</v>
      </c>
      <c r="C9" s="59">
        <f>C8*InfoInicial!C3</f>
        <v>0</v>
      </c>
      <c r="D9" s="60">
        <f>SUM(B9:C9)</f>
        <v>5125865.4603659995</v>
      </c>
    </row>
    <row r="10" spans="1:8">
      <c r="A10" s="170" t="s">
        <v>286</v>
      </c>
      <c r="B10" s="59">
        <f>SUM(B8:B9)</f>
        <v>29534748.604966</v>
      </c>
      <c r="C10" s="59">
        <f>SUM(C8:C9)</f>
        <v>0</v>
      </c>
      <c r="D10" s="60">
        <f>SUM(B10:C10)</f>
        <v>29534748.604966</v>
      </c>
    </row>
    <row r="11" spans="1:8">
      <c r="A11" s="170" t="s">
        <v>287</v>
      </c>
      <c r="B11" s="80"/>
      <c r="C11" s="80"/>
      <c r="D11" s="81"/>
    </row>
    <row r="12" spans="1:8">
      <c r="A12" s="171" t="s">
        <v>288</v>
      </c>
      <c r="B12" s="59">
        <f>'E-InvAT'!B6</f>
        <v>537600</v>
      </c>
      <c r="C12" s="59">
        <f>'E-InvAT'!C6</f>
        <v>672000</v>
      </c>
      <c r="D12" s="60">
        <f>SUM(B12:C12)</f>
        <v>1209600</v>
      </c>
    </row>
    <row r="13" spans="1:8">
      <c r="A13" s="162" t="s">
        <v>289</v>
      </c>
      <c r="B13" s="59">
        <f>'E-InvAT'!B7</f>
        <v>0</v>
      </c>
      <c r="C13" s="59">
        <f>'E-InvAT'!C7</f>
        <v>2761643.8356164382</v>
      </c>
      <c r="D13" s="60">
        <f>SUM(B13:C13)</f>
        <v>2761643.8356164382</v>
      </c>
    </row>
    <row r="14" spans="1:8">
      <c r="A14" s="162" t="s">
        <v>290</v>
      </c>
      <c r="B14" s="59">
        <f>'E-InvAT'!B9</f>
        <v>1499408.3613733919</v>
      </c>
      <c r="C14" s="59">
        <f>'E-InvAT'!C9</f>
        <v>9222409.2394633107</v>
      </c>
      <c r="D14" s="60">
        <f>SUM(B14:C14)</f>
        <v>10721817.600836702</v>
      </c>
    </row>
    <row r="15" spans="1:8">
      <c r="A15" s="170" t="s">
        <v>291</v>
      </c>
      <c r="B15" s="59">
        <f>SUM(B12:B14)</f>
        <v>2037008.3613733919</v>
      </c>
      <c r="C15" s="59">
        <f>SUM(C12:C14)</f>
        <v>12656053.075079748</v>
      </c>
      <c r="D15" s="60">
        <f>SUM(B15:C15)</f>
        <v>14693061.436453141</v>
      </c>
    </row>
    <row r="16" spans="1:8">
      <c r="A16" s="162" t="s">
        <v>115</v>
      </c>
      <c r="B16" s="80"/>
      <c r="C16" s="80"/>
      <c r="D16" s="81"/>
    </row>
    <row r="17" spans="1:5">
      <c r="A17" s="162" t="s">
        <v>292</v>
      </c>
      <c r="B17" s="59">
        <v>0</v>
      </c>
      <c r="C17" s="374">
        <f>'E-InvAT'!C17+'E-InvAT'!C18</f>
        <v>17075.427308322833</v>
      </c>
      <c r="D17" s="60"/>
    </row>
    <row r="18" spans="1:5">
      <c r="A18" s="162" t="s">
        <v>293</v>
      </c>
      <c r="B18" s="59">
        <v>0</v>
      </c>
      <c r="C18" s="59">
        <f>'E-InvAT'!C20</f>
        <v>68477.56867602827</v>
      </c>
      <c r="D18" s="60">
        <f t="shared" ref="D18:D23" si="0">SUM(B18:C18)</f>
        <v>68477.56867602827</v>
      </c>
    </row>
    <row r="19" spans="1:5">
      <c r="A19" s="162" t="s">
        <v>294</v>
      </c>
      <c r="B19" s="59">
        <v>0</v>
      </c>
      <c r="C19" s="59">
        <f>'E-InvAT'!C19</f>
        <v>757656.63689776591</v>
      </c>
      <c r="D19" s="60">
        <f t="shared" si="0"/>
        <v>757656.63689776591</v>
      </c>
    </row>
    <row r="20" spans="1:5">
      <c r="A20" s="170" t="s">
        <v>295</v>
      </c>
      <c r="B20" s="59">
        <f>B15-B18-B17-B19</f>
        <v>2037008.3613733919</v>
      </c>
      <c r="C20" s="59">
        <f>C15-C18-C17-C19</f>
        <v>11812843.442197632</v>
      </c>
      <c r="D20" s="60">
        <f t="shared" si="0"/>
        <v>13849851.803571023</v>
      </c>
    </row>
    <row r="21" spans="1:5">
      <c r="A21" s="162" t="s">
        <v>296</v>
      </c>
      <c r="B21" s="59">
        <f>'E-InvAT'!B34</f>
        <v>314875.7558884123</v>
      </c>
      <c r="C21" s="59">
        <f>'E-InvAT'!C34</f>
        <v>1621830.1843988826</v>
      </c>
      <c r="D21" s="60">
        <f t="shared" si="0"/>
        <v>1936705.9402872948</v>
      </c>
    </row>
    <row r="22" spans="1:5">
      <c r="A22" s="170" t="s">
        <v>297</v>
      </c>
      <c r="B22" s="59">
        <f>B21+'E-InvAT'!B36</f>
        <v>2666759.8731502164</v>
      </c>
      <c r="C22" s="59">
        <f>C21+'E-InvAT'!C36</f>
        <v>13019495.449622005</v>
      </c>
      <c r="D22" s="60">
        <f t="shared" si="0"/>
        <v>15686255.322772222</v>
      </c>
    </row>
    <row r="23" spans="1:5">
      <c r="A23" s="170" t="s">
        <v>298</v>
      </c>
      <c r="B23" s="59">
        <f>B15+B21</f>
        <v>2351884.1172618042</v>
      </c>
      <c r="C23" s="59">
        <f>C15+C21</f>
        <v>14277883.25947863</v>
      </c>
      <c r="D23" s="60">
        <f t="shared" si="0"/>
        <v>16629767.376740435</v>
      </c>
    </row>
    <row r="24" spans="1:5">
      <c r="A24" s="170" t="s">
        <v>299</v>
      </c>
      <c r="B24" s="80"/>
      <c r="C24" s="80"/>
      <c r="D24" s="81"/>
    </row>
    <row r="25" spans="1:5">
      <c r="A25" s="162" t="s">
        <v>300</v>
      </c>
      <c r="B25" s="59">
        <f>B10</f>
        <v>29534748.604966</v>
      </c>
      <c r="C25" s="59">
        <f>C10</f>
        <v>0</v>
      </c>
      <c r="D25" s="60"/>
    </row>
    <row r="26" spans="1:5">
      <c r="A26" s="162" t="s">
        <v>301</v>
      </c>
      <c r="B26" s="59">
        <f>B23</f>
        <v>2351884.1172618042</v>
      </c>
      <c r="C26" s="59">
        <f>C23</f>
        <v>14277883.25947863</v>
      </c>
      <c r="D26" s="60"/>
    </row>
    <row r="27" spans="1:5">
      <c r="A27" s="170" t="s">
        <v>302</v>
      </c>
      <c r="B27" s="59">
        <f>SUM(B25:B26)</f>
        <v>31886632.722227804</v>
      </c>
      <c r="C27" s="59">
        <f>SUM(C25:C26)</f>
        <v>14277883.25947863</v>
      </c>
      <c r="D27" s="60"/>
      <c r="E27" s="174"/>
    </row>
    <row r="28" spans="1:5">
      <c r="A28" s="170" t="s">
        <v>303</v>
      </c>
      <c r="B28" s="80"/>
      <c r="C28" s="80"/>
      <c r="D28" s="110"/>
      <c r="E28" s="175" t="s">
        <v>304</v>
      </c>
    </row>
    <row r="29" spans="1:5">
      <c r="A29" s="170" t="s">
        <v>305</v>
      </c>
      <c r="B29" s="59">
        <v>0</v>
      </c>
      <c r="C29" s="59">
        <f>'F-Cred'!D6</f>
        <v>832456.66666666663</v>
      </c>
      <c r="D29" s="109">
        <f>SUM(B29:C29)</f>
        <v>832456.66666666663</v>
      </c>
      <c r="E29" s="83">
        <f>D29/D32</f>
        <v>1.8032392389785771E-2</v>
      </c>
    </row>
    <row r="30" spans="1:5">
      <c r="A30" s="170" t="s">
        <v>306</v>
      </c>
      <c r="B30" s="59">
        <f>'F-Cred'!D5</f>
        <v>3351600</v>
      </c>
      <c r="C30" s="59">
        <v>0</v>
      </c>
      <c r="D30" s="109">
        <f>SUM(B30:C30)</f>
        <v>3351600</v>
      </c>
      <c r="E30" s="83">
        <f>D30/D32</f>
        <v>7.2601216079642969E-2</v>
      </c>
    </row>
    <row r="31" spans="1:5">
      <c r="A31" s="170" t="s">
        <v>307</v>
      </c>
      <c r="B31" s="59">
        <f>B27-B30-B29</f>
        <v>28535032.722227804</v>
      </c>
      <c r="C31" s="59">
        <f>C27-C29-C30</f>
        <v>13445426.592811964</v>
      </c>
      <c r="D31" s="109">
        <f>SUM(B31:C31)</f>
        <v>41980459.315039769</v>
      </c>
      <c r="E31" s="83">
        <f>D31/D32</f>
        <v>0.90936639153057131</v>
      </c>
    </row>
    <row r="32" spans="1:5">
      <c r="A32" s="172" t="s">
        <v>193</v>
      </c>
      <c r="B32" s="64">
        <f>SUM(B29:B31)</f>
        <v>31886632.722227804</v>
      </c>
      <c r="C32" s="64">
        <f>SUM(C29:C31)</f>
        <v>14277883.25947863</v>
      </c>
      <c r="D32" s="109">
        <f>SUM(B32:C32)</f>
        <v>46164515.981706433</v>
      </c>
      <c r="E32" s="76"/>
    </row>
    <row r="34" spans="1:6" ht="15.75">
      <c r="A34" s="163" t="s">
        <v>308</v>
      </c>
      <c r="B34" s="164"/>
      <c r="C34" s="164"/>
      <c r="D34" s="164"/>
      <c r="E34" s="164"/>
      <c r="F34" s="164"/>
    </row>
    <row r="35" spans="1:6">
      <c r="A35" s="166" t="s">
        <v>89</v>
      </c>
      <c r="B35" s="167" t="s">
        <v>49</v>
      </c>
      <c r="C35" s="167" t="s">
        <v>90</v>
      </c>
      <c r="D35" s="167" t="s">
        <v>91</v>
      </c>
      <c r="E35" s="167" t="s">
        <v>92</v>
      </c>
      <c r="F35" s="167" t="s">
        <v>93</v>
      </c>
    </row>
    <row r="36" spans="1:6">
      <c r="A36" s="176" t="s">
        <v>154</v>
      </c>
      <c r="B36" s="24">
        <f>'E-Costos'!B127</f>
        <v>3266799.4615800004</v>
      </c>
      <c r="C36" s="24">
        <f>'E-Costos'!C127</f>
        <v>3266799.4615800004</v>
      </c>
      <c r="D36" s="24">
        <f>'E-Costos'!D127</f>
        <v>3266799.4615800004</v>
      </c>
      <c r="E36" s="24">
        <f>'E-Costos'!E127</f>
        <v>3253752.3627000004</v>
      </c>
      <c r="F36" s="24">
        <f>'E-Costos'!F127</f>
        <v>3253752.3627000004</v>
      </c>
    </row>
    <row r="37" spans="1:6">
      <c r="A37" s="177" t="s">
        <v>155</v>
      </c>
      <c r="B37" s="24">
        <f>'E-Costos'!B128</f>
        <v>10615804.434940593</v>
      </c>
      <c r="C37" s="24">
        <f>'E-Costos'!C128</f>
        <v>11562088.196853636</v>
      </c>
      <c r="D37" s="24">
        <f>'E-Costos'!D128</f>
        <v>11562088.196853636</v>
      </c>
      <c r="E37" s="24">
        <f>'E-Costos'!E128</f>
        <v>11561566.312898435</v>
      </c>
      <c r="F37" s="24">
        <f>'E-Costos'!F128</f>
        <v>11561566.312898435</v>
      </c>
    </row>
    <row r="38" spans="1:6">
      <c r="A38" s="176" t="s">
        <v>156</v>
      </c>
      <c r="B38" s="24">
        <f>'E-Costos'!B129</f>
        <v>896366.85779504548</v>
      </c>
      <c r="C38" s="24">
        <f>'E-Costos'!C129</f>
        <v>984434.77715630236</v>
      </c>
      <c r="D38" s="24">
        <f>'E-Costos'!D129</f>
        <v>984434.77715630236</v>
      </c>
      <c r="E38" s="24">
        <f>'E-Costos'!E129</f>
        <v>983680.94477656903</v>
      </c>
      <c r="F38" s="24">
        <f>'E-Costos'!F129</f>
        <v>983680.94477656903</v>
      </c>
    </row>
    <row r="39" spans="1:6">
      <c r="A39" s="177" t="s">
        <v>157</v>
      </c>
      <c r="B39" s="24">
        <f>'E-Costos'!B130</f>
        <v>0</v>
      </c>
      <c r="C39" s="24">
        <f>'E-Costos'!C130</f>
        <v>0</v>
      </c>
      <c r="D39" s="24">
        <f>'E-Costos'!D130</f>
        <v>0</v>
      </c>
      <c r="E39" s="24">
        <f>'E-Costos'!E130</f>
        <v>0</v>
      </c>
      <c r="F39" s="24">
        <f>'E-Costos'!F130</f>
        <v>0</v>
      </c>
    </row>
    <row r="40" spans="1:6">
      <c r="A40" s="176" t="s">
        <v>158</v>
      </c>
      <c r="B40" s="24">
        <f>'E-Costos'!B131</f>
        <v>960510.95897666668</v>
      </c>
      <c r="C40" s="24">
        <f>'E-Costos'!C131</f>
        <v>1062510.9589766667</v>
      </c>
      <c r="D40" s="24">
        <f>'E-Costos'!D131</f>
        <v>1062510.9589766667</v>
      </c>
      <c r="E40" s="24">
        <f>'E-Costos'!E131</f>
        <v>1061786.1201500001</v>
      </c>
      <c r="F40" s="24">
        <f>'E-Costos'!F131</f>
        <v>1061786.1201500001</v>
      </c>
    </row>
    <row r="41" spans="1:6">
      <c r="A41" s="177" t="s">
        <v>159</v>
      </c>
      <c r="B41" s="24">
        <f>'E-Costos'!B132</f>
        <v>1269071.5565554416</v>
      </c>
      <c r="C41" s="24">
        <f>'E-Costos'!C132</f>
        <v>1409512.2599979052</v>
      </c>
      <c r="D41" s="24">
        <f>'E-Costos'!D132</f>
        <v>1409512.2599979052</v>
      </c>
      <c r="E41" s="24">
        <f>'E-Costos'!E132</f>
        <v>1409315.6189481132</v>
      </c>
      <c r="F41" s="24">
        <f>'E-Costos'!F132</f>
        <v>1409315.6189481132</v>
      </c>
    </row>
    <row r="42" spans="1:6">
      <c r="A42" s="177" t="s">
        <v>309</v>
      </c>
      <c r="B42" s="24">
        <f>'F-CRes'!B10</f>
        <v>1267304.325</v>
      </c>
      <c r="C42" s="24">
        <f>'F-CRes'!C10</f>
        <v>719505.33333333337</v>
      </c>
      <c r="D42" s="24">
        <f>'F-CRes'!D10</f>
        <v>572034.93333333335</v>
      </c>
      <c r="E42" s="24">
        <f>'F-CRes'!E10</f>
        <v>424564.53333333333</v>
      </c>
      <c r="F42" s="24">
        <f>'F-CRes'!F10</f>
        <v>277094.1333333333</v>
      </c>
    </row>
    <row r="43" spans="1:6">
      <c r="A43" s="176" t="s">
        <v>160</v>
      </c>
      <c r="B43" s="24">
        <f>'E-Costos'!B87-'F-2 Estructura'!B37-'F-2 Estructura'!B39-'F-2 Estructura'!B41</f>
        <v>17361732.704156138</v>
      </c>
      <c r="C43" s="24">
        <f>'E-Costos'!C87-'F-2 Estructura'!C37-'F-2 Estructura'!C39-'F-2 Estructura'!C41</f>
        <v>20628399.543148458</v>
      </c>
      <c r="D43" s="24">
        <f>'E-Costos'!D87-'F-2 Estructura'!D37-'F-2 Estructura'!D39-'F-2 Estructura'!D41</f>
        <v>20628399.543148458</v>
      </c>
      <c r="E43" s="24">
        <f>'E-Costos'!E87-'F-2 Estructura'!E37-'F-2 Estructura'!E39-'F-2 Estructura'!E41</f>
        <v>20629118.068153452</v>
      </c>
      <c r="F43" s="24">
        <f>'E-Costos'!F87-'F-2 Estructura'!F37-'F-2 Estructura'!F39-'F-2 Estructura'!F41</f>
        <v>20629118.068153452</v>
      </c>
    </row>
    <row r="44" spans="1:6">
      <c r="A44" s="178" t="s">
        <v>161</v>
      </c>
      <c r="B44" s="254">
        <f>((B36+B38+B40+B42)/('E-Costos'!B86-('F-2 Estructura'!B37+'F-2 Estructura'!B39+'F-2 Estructura'!B41)/'E-Costos'!B85))/'E-Costos'!B85</f>
        <v>0.36810736072568412</v>
      </c>
      <c r="C44" s="254">
        <f>((C36+C38+C40+C42)/('E-Costos'!C86-('F-2 Estructura'!C37+'F-2 Estructura'!C39+'F-2 Estructura'!C41)/'E-Costos'!C85))/'E-Costos'!C85</f>
        <v>0.29247303061134439</v>
      </c>
      <c r="D44" s="254">
        <f>((D36+D38+D40+D42)/('E-Costos'!D86-('F-2 Estructura'!D37+'F-2 Estructura'!D39+'F-2 Estructura'!D41)/'E-Costos'!D85))/'E-Costos'!D85</f>
        <v>0.28532412893860265</v>
      </c>
      <c r="E44" s="254">
        <f>((E36+E38+E40+E42)/('E-Costos'!E86-('F-2 Estructura'!E37+'F-2 Estructura'!E39+'F-2 Estructura'!E41)/'E-Costos'!E85))/'E-Costos'!E85</f>
        <v>0.27746139907920203</v>
      </c>
      <c r="F44" s="254">
        <f>((F36+F38+F40+F42)/('E-Costos'!F86-('F-2 Estructura'!F37+'F-2 Estructura'!F39+'F-2 Estructura'!F41)/'E-Costos'!F85))/'E-Costos'!F85</f>
        <v>0.27031274640714908</v>
      </c>
    </row>
    <row r="45" spans="1:6" ht="15.75">
      <c r="A45" s="179" t="s">
        <v>310</v>
      </c>
    </row>
    <row r="49" spans="1:8">
      <c r="A49" s="437" t="s">
        <v>49</v>
      </c>
      <c r="C49"/>
      <c r="D49"/>
      <c r="F49" s="438" t="s">
        <v>90</v>
      </c>
    </row>
    <row r="50" spans="1:8">
      <c r="A50" s="330"/>
      <c r="B50" s="441">
        <v>0</v>
      </c>
      <c r="C50" s="441">
        <v>1</v>
      </c>
      <c r="G50" s="441">
        <v>0</v>
      </c>
      <c r="H50" s="441">
        <v>1</v>
      </c>
    </row>
    <row r="51" spans="1:8">
      <c r="A51" s="439" t="s">
        <v>468</v>
      </c>
      <c r="B51" s="260">
        <f>B36+B38+B40+B42</f>
        <v>6390981.6033517122</v>
      </c>
      <c r="C51" s="260">
        <f>B36+B38+B40+B42</f>
        <v>6390981.6033517122</v>
      </c>
      <c r="F51" s="439" t="s">
        <v>468</v>
      </c>
      <c r="G51" s="436">
        <f>F36+F38+F40+F42</f>
        <v>5576313.5609599017</v>
      </c>
      <c r="H51" s="436">
        <f>F36+F38+F40+F42</f>
        <v>5576313.5609599017</v>
      </c>
    </row>
    <row r="52" spans="1:8">
      <c r="A52" s="439" t="s">
        <v>469</v>
      </c>
      <c r="B52" s="260">
        <f>B36+B38+B40+B42</f>
        <v>6390981.6033517122</v>
      </c>
      <c r="C52" s="260">
        <f>SUM(B36:B42)</f>
        <v>18275857.594847746</v>
      </c>
      <c r="F52" s="439" t="s">
        <v>469</v>
      </c>
      <c r="G52" s="436">
        <f>F36+F38+F40+F42</f>
        <v>5576313.5609599017</v>
      </c>
      <c r="H52" s="436">
        <f>SUM(F36:F42)</f>
        <v>18547195.49280645</v>
      </c>
    </row>
    <row r="53" spans="1:8">
      <c r="A53" s="440" t="s">
        <v>470</v>
      </c>
      <c r="B53" s="260">
        <v>0</v>
      </c>
      <c r="C53" s="260">
        <f>'E-Costos'!B87</f>
        <v>29246608.695652176</v>
      </c>
      <c r="F53" s="440" t="s">
        <v>470</v>
      </c>
      <c r="G53" s="436">
        <v>0</v>
      </c>
      <c r="H53" s="436">
        <f>'E-Costos'!F87</f>
        <v>33600000</v>
      </c>
    </row>
    <row r="54" spans="1:8">
      <c r="A54" s="431"/>
      <c r="B54" s="432"/>
      <c r="C54" s="432"/>
      <c r="D54" s="432"/>
    </row>
    <row r="55" spans="1:8">
      <c r="A55" s="431"/>
      <c r="B55" s="432"/>
      <c r="C55" s="432"/>
      <c r="D55" s="432"/>
    </row>
    <row r="56" spans="1:8">
      <c r="A56" s="433"/>
      <c r="B56" s="434"/>
      <c r="C56" s="434"/>
      <c r="D56" s="434"/>
    </row>
    <row r="57" spans="1:8">
      <c r="A57" s="435"/>
      <c r="B57" s="430"/>
      <c r="C57" s="430"/>
      <c r="D57" s="430"/>
    </row>
  </sheetData>
  <sheetProtection selectLockedCells="1" selectUnlockedCells="1"/>
  <pageMargins left="0.25972222222222224" right="0.4597222222222222" top="0.7" bottom="1" header="0.51180555555555551" footer="0.51180555555555551"/>
  <pageSetup paperSize="9" firstPageNumber="0" fitToHeight="4" orientation="landscape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topLeftCell="A3" workbookViewId="0">
      <selection activeCell="I29" sqref="I29"/>
    </sheetView>
  </sheetViews>
  <sheetFormatPr baseColWidth="10" defaultColWidth="11.42578125" defaultRowHeight="12.75"/>
  <cols>
    <col min="1" max="1" width="43" style="162" customWidth="1"/>
    <col min="2" max="2" width="15.28515625" style="162" customWidth="1"/>
    <col min="3" max="3" width="15.7109375" style="162" customWidth="1"/>
    <col min="4" max="4" width="16.28515625" style="162" customWidth="1"/>
    <col min="5" max="5" width="15.42578125" style="162" customWidth="1"/>
    <col min="6" max="6" width="15.85546875" style="162" customWidth="1"/>
    <col min="7" max="7" width="16.28515625" style="162" customWidth="1"/>
    <col min="8" max="8" width="17.42578125" style="162" customWidth="1"/>
    <col min="9" max="16384" width="11.42578125" style="162"/>
  </cols>
  <sheetData>
    <row r="1" spans="1:7">
      <c r="A1" s="1" t="s">
        <v>0</v>
      </c>
      <c r="B1"/>
      <c r="C1"/>
      <c r="D1"/>
      <c r="E1" s="2">
        <f>InfoInicial!E1</f>
        <v>0</v>
      </c>
    </row>
    <row r="2" spans="1:7" ht="15.75">
      <c r="A2" s="163" t="s">
        <v>212</v>
      </c>
      <c r="B2" s="164"/>
      <c r="C2" s="164"/>
      <c r="D2" s="164"/>
      <c r="E2" s="164"/>
      <c r="F2" s="164"/>
      <c r="G2" s="165"/>
    </row>
    <row r="3" spans="1:7" ht="15.75">
      <c r="A3" s="180"/>
      <c r="B3" s="181" t="s">
        <v>213</v>
      </c>
      <c r="C3" s="181"/>
      <c r="D3" s="181"/>
      <c r="E3" s="181"/>
      <c r="F3" s="181"/>
      <c r="G3" s="182"/>
    </row>
    <row r="4" spans="1:7">
      <c r="A4" s="183" t="s">
        <v>89</v>
      </c>
      <c r="B4" s="184" t="s">
        <v>48</v>
      </c>
      <c r="C4" s="167" t="s">
        <v>49</v>
      </c>
      <c r="D4" s="167" t="s">
        <v>90</v>
      </c>
      <c r="E4" s="167" t="s">
        <v>91</v>
      </c>
      <c r="F4" s="167" t="s">
        <v>92</v>
      </c>
      <c r="G4" s="169" t="s">
        <v>93</v>
      </c>
    </row>
    <row r="5" spans="1:7">
      <c r="A5" s="185" t="s">
        <v>311</v>
      </c>
      <c r="B5" s="118"/>
      <c r="C5" s="101"/>
      <c r="D5" s="101"/>
      <c r="E5" s="101"/>
      <c r="F5" s="101"/>
      <c r="G5" s="102"/>
    </row>
    <row r="6" spans="1:7">
      <c r="A6" s="186" t="s">
        <v>312</v>
      </c>
      <c r="B6" s="120"/>
      <c r="C6" s="59">
        <f>'E-IVA '!C17</f>
        <v>1917471.7311528942</v>
      </c>
      <c r="D6" s="59">
        <f>'E-IVA '!D17</f>
        <v>2276668.6487280908</v>
      </c>
      <c r="E6" s="59">
        <f>'E-IVA '!E17</f>
        <v>2205366.7364057605</v>
      </c>
      <c r="F6" s="59">
        <f>'E-IVA '!F17</f>
        <v>2205395.2312697144</v>
      </c>
      <c r="G6" s="59">
        <f>'E-IVA '!G17</f>
        <v>2205366.7364057605</v>
      </c>
    </row>
    <row r="7" spans="1:7">
      <c r="A7" s="186" t="s">
        <v>313</v>
      </c>
      <c r="B7" s="120"/>
      <c r="C7" s="59">
        <f>'E-IVA '!C18</f>
        <v>41270.507300745718</v>
      </c>
      <c r="D7" s="59">
        <f>'E-IVA '!D18</f>
        <v>44689.452556384131</v>
      </c>
      <c r="E7" s="59">
        <f>'E-IVA '!E18</f>
        <v>44689.452556384131</v>
      </c>
      <c r="F7" s="59">
        <f>'E-IVA '!F18</f>
        <v>44689.452556384131</v>
      </c>
      <c r="G7" s="59">
        <f>'E-IVA '!G18</f>
        <v>44689.452556384131</v>
      </c>
    </row>
    <row r="8" spans="1:7">
      <c r="A8" s="187" t="s">
        <v>314</v>
      </c>
      <c r="B8" s="120"/>
      <c r="C8" s="59">
        <f>'E-IVA '!C19</f>
        <v>76171.881187645908</v>
      </c>
      <c r="D8" s="59">
        <f>'E-IVA '!D19</f>
        <v>78565.419215534741</v>
      </c>
      <c r="E8" s="59">
        <f>'E-IVA '!E19</f>
        <v>78565.419215534741</v>
      </c>
      <c r="F8" s="59">
        <f>'E-IVA '!F19</f>
        <v>78531.56731715746</v>
      </c>
      <c r="G8" s="59">
        <f>'E-IVA '!G19</f>
        <v>78531.56731715746</v>
      </c>
    </row>
    <row r="9" spans="1:7">
      <c r="A9" s="187" t="s">
        <v>315</v>
      </c>
      <c r="B9" s="120"/>
      <c r="C9" s="59">
        <f>'F-Cred'!G24*InfoInicial!B3</f>
        <v>174635.22824999999</v>
      </c>
      <c r="D9" s="59">
        <f>'F-Cred'!G26*InfoInicial!B3</f>
        <v>151096.12</v>
      </c>
      <c r="E9" s="59">
        <f>'F-Cred'!G28*InfoInicial!B3</f>
        <v>120127.336</v>
      </c>
      <c r="F9" s="59">
        <f>'F-Cred'!G30*InfoInicial!B3</f>
        <v>89158.551999999996</v>
      </c>
      <c r="G9" s="60">
        <f>'F-Cred'!G32*InfoInicial!B3</f>
        <v>58189.767999999989</v>
      </c>
    </row>
    <row r="10" spans="1:7">
      <c r="A10" s="188" t="s">
        <v>316</v>
      </c>
      <c r="B10" s="120"/>
      <c r="C10" s="59">
        <f>SUM(C6:C9)</f>
        <v>2209549.347891286</v>
      </c>
      <c r="D10" s="59">
        <f t="shared" ref="D10:G10" si="0">SUM(D6:D9)</f>
        <v>2551019.64050001</v>
      </c>
      <c r="E10" s="59">
        <f t="shared" si="0"/>
        <v>2448748.9441776797</v>
      </c>
      <c r="F10" s="59">
        <f t="shared" si="0"/>
        <v>2417774.8031432563</v>
      </c>
      <c r="G10" s="59">
        <f t="shared" si="0"/>
        <v>2386777.5242793025</v>
      </c>
    </row>
    <row r="11" spans="1:7">
      <c r="A11" s="188"/>
      <c r="B11" s="122"/>
      <c r="C11" s="80"/>
      <c r="D11" s="80"/>
      <c r="E11" s="80"/>
      <c r="F11" s="80"/>
      <c r="G11" s="81"/>
    </row>
    <row r="12" spans="1:7">
      <c r="A12" s="186" t="s">
        <v>224</v>
      </c>
      <c r="B12" s="120"/>
      <c r="C12" s="59">
        <f>C10</f>
        <v>2209549.347891286</v>
      </c>
      <c r="D12" s="59">
        <f>D10</f>
        <v>2551019.64050001</v>
      </c>
      <c r="E12" s="59">
        <f t="shared" ref="E12:G12" si="1">E10</f>
        <v>2448748.9441776797</v>
      </c>
      <c r="F12" s="59">
        <f t="shared" si="1"/>
        <v>2417774.8031432563</v>
      </c>
      <c r="G12" s="59">
        <f t="shared" si="1"/>
        <v>2386777.5242793025</v>
      </c>
    </row>
    <row r="13" spans="1:7">
      <c r="A13" s="186" t="s">
        <v>225</v>
      </c>
      <c r="B13" s="120"/>
      <c r="C13" s="59">
        <f>'E-IVA '!C22</f>
        <v>6141787.826086957</v>
      </c>
      <c r="D13" s="59">
        <f>'E-IVA '!D22</f>
        <v>7056000</v>
      </c>
      <c r="E13" s="59">
        <f>'E-IVA '!E22</f>
        <v>7056000</v>
      </c>
      <c r="F13" s="59">
        <f>'E-IVA '!F22</f>
        <v>7056000</v>
      </c>
      <c r="G13" s="59">
        <f>'E-IVA '!G22</f>
        <v>7056000</v>
      </c>
    </row>
    <row r="14" spans="1:7">
      <c r="A14" s="188" t="s">
        <v>317</v>
      </c>
      <c r="B14" s="120"/>
      <c r="C14" s="59">
        <f>C13-C12</f>
        <v>3932238.478195671</v>
      </c>
      <c r="D14" s="59">
        <f t="shared" ref="D14:G14" si="2">D13-D12</f>
        <v>4504980.35949999</v>
      </c>
      <c r="E14" s="59">
        <f t="shared" si="2"/>
        <v>4607251.0558223203</v>
      </c>
      <c r="F14" s="59">
        <f t="shared" si="2"/>
        <v>4638225.1968567437</v>
      </c>
      <c r="G14" s="59">
        <f t="shared" si="2"/>
        <v>4669222.475720698</v>
      </c>
    </row>
    <row r="15" spans="1:7">
      <c r="A15" s="186"/>
      <c r="B15" s="122"/>
      <c r="C15" s="80"/>
      <c r="D15" s="80"/>
      <c r="E15" s="80"/>
      <c r="F15" s="80"/>
      <c r="G15" s="81"/>
    </row>
    <row r="16" spans="1:7">
      <c r="A16" s="189" t="s">
        <v>318</v>
      </c>
      <c r="B16" s="120"/>
      <c r="C16" s="59">
        <f>B18</f>
        <v>5440741.2162544122</v>
      </c>
      <c r="D16" s="59">
        <f>C18</f>
        <v>3130332.9224576238</v>
      </c>
      <c r="E16" s="59">
        <f>D18</f>
        <v>0</v>
      </c>
      <c r="F16" s="59">
        <f>E18</f>
        <v>0</v>
      </c>
      <c r="G16" s="60">
        <f>F18</f>
        <v>0</v>
      </c>
    </row>
    <row r="17" spans="1:7">
      <c r="A17" s="189" t="s">
        <v>319</v>
      </c>
      <c r="B17" s="120">
        <f>'F-2 Estructura'!B9+'F-2 Estructura'!B21</f>
        <v>5440741.2162544122</v>
      </c>
      <c r="C17" s="59">
        <f>'F-2 Estructura'!C9+'F-2 Estructura'!C21</f>
        <v>1621830.1843988826</v>
      </c>
      <c r="D17" s="59">
        <f>'E-IVA '!D26</f>
        <v>-69397.607864307676</v>
      </c>
      <c r="E17" s="59">
        <f>'E-IVA '!E26</f>
        <v>0</v>
      </c>
      <c r="F17" s="59">
        <f>'E-IVA '!F26</f>
        <v>-30.845690230113103</v>
      </c>
      <c r="G17" s="59">
        <f>'E-IVA '!G26</f>
        <v>0</v>
      </c>
    </row>
    <row r="18" spans="1:7">
      <c r="A18" s="188" t="s">
        <v>320</v>
      </c>
      <c r="B18" s="120">
        <f t="shared" ref="B18" si="3">B16+B17-B14</f>
        <v>5440741.2162544122</v>
      </c>
      <c r="C18" s="59">
        <f>IF(((-C14)+C16+C17)&gt;0,(-C14)+C16+C17,0)</f>
        <v>3130332.9224576238</v>
      </c>
      <c r="D18" s="59">
        <f t="shared" ref="D18:G18" si="4">IF(((-D14)+D16+D17)&gt;0,(-D14)+D16+D17,0)</f>
        <v>0</v>
      </c>
      <c r="E18" s="59">
        <f t="shared" si="4"/>
        <v>0</v>
      </c>
      <c r="F18" s="59">
        <f t="shared" si="4"/>
        <v>0</v>
      </c>
      <c r="G18" s="59">
        <f t="shared" si="4"/>
        <v>0</v>
      </c>
    </row>
    <row r="19" spans="1:7">
      <c r="A19" s="188" t="s">
        <v>321</v>
      </c>
      <c r="B19" s="120">
        <f>B16+B17-B18</f>
        <v>0</v>
      </c>
      <c r="C19" s="59">
        <f>C16+C17-C18</f>
        <v>3932238.4781956715</v>
      </c>
      <c r="D19" s="120">
        <f t="shared" ref="D19:G19" si="5">D16+D17-D18</f>
        <v>3060935.3145933161</v>
      </c>
      <c r="E19" s="59">
        <f t="shared" si="5"/>
        <v>0</v>
      </c>
      <c r="F19" s="120">
        <f t="shared" si="5"/>
        <v>-30.845690230113103</v>
      </c>
      <c r="G19" s="59">
        <f t="shared" si="5"/>
        <v>0</v>
      </c>
    </row>
    <row r="20" spans="1:7">
      <c r="A20" s="186"/>
      <c r="B20" s="122"/>
      <c r="C20" s="80"/>
      <c r="D20" s="80"/>
      <c r="E20" s="80"/>
      <c r="F20" s="80"/>
      <c r="G20" s="81"/>
    </row>
    <row r="21" spans="1:7">
      <c r="A21" s="190" t="s">
        <v>230</v>
      </c>
      <c r="B21" s="125">
        <f>B14-B19</f>
        <v>0</v>
      </c>
      <c r="C21" s="64">
        <f>C14-C19</f>
        <v>0</v>
      </c>
      <c r="D21" s="125">
        <f t="shared" ref="D21:G21" si="6">D14-D19</f>
        <v>1444045.044906674</v>
      </c>
      <c r="E21" s="64">
        <f t="shared" si="6"/>
        <v>4607251.0558223203</v>
      </c>
      <c r="F21" s="125">
        <f t="shared" si="6"/>
        <v>4638256.0425469736</v>
      </c>
      <c r="G21" s="64">
        <f t="shared" si="6"/>
        <v>4669222.475720698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opLeftCell="A3" workbookViewId="0">
      <selection activeCell="B7" sqref="B7"/>
    </sheetView>
  </sheetViews>
  <sheetFormatPr baseColWidth="10" defaultColWidth="11.42578125" defaultRowHeight="12.75"/>
  <cols>
    <col min="1" max="1" width="41" style="191" customWidth="1"/>
    <col min="2" max="5" width="14.85546875" style="191" customWidth="1"/>
    <col min="6" max="6" width="16.85546875" style="191" customWidth="1"/>
    <col min="7" max="7" width="18.140625" style="191" customWidth="1"/>
    <col min="8" max="8" width="16.42578125" style="191" customWidth="1"/>
    <col min="9" max="9" width="17.42578125" style="191" customWidth="1"/>
    <col min="10" max="16384" width="11.42578125" style="191"/>
  </cols>
  <sheetData>
    <row r="1" spans="1:8">
      <c r="A1" s="1" t="s">
        <v>0</v>
      </c>
      <c r="B1"/>
      <c r="C1"/>
      <c r="D1"/>
      <c r="E1" s="2">
        <f>InfoInicial!E1</f>
        <v>0</v>
      </c>
    </row>
    <row r="3" spans="1:8" ht="15.75">
      <c r="A3" s="192" t="s">
        <v>322</v>
      </c>
      <c r="B3" s="193"/>
      <c r="C3" s="193"/>
      <c r="D3" s="193"/>
      <c r="E3" s="193"/>
      <c r="F3" s="193"/>
      <c r="G3" s="194"/>
      <c r="H3" s="195"/>
    </row>
    <row r="4" spans="1:8">
      <c r="A4" s="196"/>
      <c r="B4" s="197" t="s">
        <v>48</v>
      </c>
      <c r="C4" s="197" t="s">
        <v>49</v>
      </c>
      <c r="D4" s="197" t="s">
        <v>90</v>
      </c>
      <c r="E4" s="197" t="s">
        <v>91</v>
      </c>
      <c r="F4" s="197" t="s">
        <v>92</v>
      </c>
      <c r="G4" s="198" t="s">
        <v>93</v>
      </c>
      <c r="H4" s="199" t="s">
        <v>193</v>
      </c>
    </row>
    <row r="5" spans="1:8">
      <c r="A5" s="170" t="s">
        <v>323</v>
      </c>
      <c r="B5" s="87">
        <f>SUM(B6:B11)</f>
        <v>31886632.722227804</v>
      </c>
      <c r="C5" s="87">
        <f t="shared" ref="C5:G5" si="0">SUM(C6:C11)</f>
        <v>47456730.433326483</v>
      </c>
      <c r="D5" s="87">
        <f t="shared" si="0"/>
        <v>50445844.917812452</v>
      </c>
      <c r="E5" s="87">
        <f t="shared" si="0"/>
        <v>60307451.548666492</v>
      </c>
      <c r="F5" s="87">
        <f t="shared" si="0"/>
        <v>69865020.686612129</v>
      </c>
      <c r="G5" s="87">
        <f t="shared" si="0"/>
        <v>80184003.359262437</v>
      </c>
      <c r="H5" s="88">
        <f>SUM(B5:G5)</f>
        <v>340145683.66790783</v>
      </c>
    </row>
    <row r="6" spans="1:8">
      <c r="A6" s="162" t="s">
        <v>324</v>
      </c>
      <c r="B6" s="374">
        <v>0</v>
      </c>
      <c r="C6" s="374">
        <f>B28</f>
        <v>0</v>
      </c>
      <c r="D6" s="374">
        <f>C28</f>
        <v>13784909.603219137</v>
      </c>
      <c r="E6" s="374">
        <f>D27</f>
        <v>26707451.548666492</v>
      </c>
      <c r="F6" s="374">
        <f>E27</f>
        <v>36265051.532302365</v>
      </c>
      <c r="G6" s="375">
        <f>F27</f>
        <v>46584003.359262437</v>
      </c>
      <c r="H6" s="88">
        <v>0</v>
      </c>
    </row>
    <row r="7" spans="1:8">
      <c r="A7" s="162" t="s">
        <v>325</v>
      </c>
      <c r="B7" s="201">
        <f>'F-2 Estructura'!B31</f>
        <v>28535032.722227804</v>
      </c>
      <c r="C7" s="201">
        <f>'F-2 Estructura'!C31</f>
        <v>13445426.592811964</v>
      </c>
      <c r="D7" s="201"/>
      <c r="E7" s="201"/>
      <c r="F7" s="201"/>
      <c r="G7" s="202"/>
      <c r="H7" s="203">
        <f>SUM(B7:G7)</f>
        <v>41980459.315039769</v>
      </c>
    </row>
    <row r="8" spans="1:8">
      <c r="A8" s="162" t="s">
        <v>326</v>
      </c>
      <c r="B8" s="59">
        <f>'F-2 Estructura'!B29</f>
        <v>0</v>
      </c>
      <c r="C8" s="59">
        <f>'F-2 Estructura'!C29</f>
        <v>832456.66666666663</v>
      </c>
      <c r="D8" s="59"/>
      <c r="E8" s="59"/>
      <c r="F8" s="59"/>
      <c r="G8" s="109"/>
      <c r="H8" s="203">
        <f>SUM(B8:G8)</f>
        <v>832456.66666666663</v>
      </c>
    </row>
    <row r="9" spans="1:8">
      <c r="A9" s="162" t="s">
        <v>327</v>
      </c>
      <c r="B9" s="201">
        <f>'F-2 Estructura'!B30</f>
        <v>3351600</v>
      </c>
      <c r="C9" s="201">
        <f>'F-2 Estructura'!C30</f>
        <v>0</v>
      </c>
      <c r="D9" s="201"/>
      <c r="E9" s="201"/>
      <c r="F9" s="201"/>
      <c r="G9" s="202"/>
      <c r="H9" s="203">
        <f t="shared" ref="H9" si="1">SUM(B9:G9)</f>
        <v>3351600</v>
      </c>
    </row>
    <row r="10" spans="1:8">
      <c r="A10" s="162" t="s">
        <v>328</v>
      </c>
      <c r="B10" s="59">
        <v>0</v>
      </c>
      <c r="C10" s="59">
        <f>'E-Costos'!B87</f>
        <v>29246608.695652176</v>
      </c>
      <c r="D10" s="59">
        <f>'E-Costos'!C87</f>
        <v>33600000</v>
      </c>
      <c r="E10" s="59">
        <f>'E-Costos'!D87</f>
        <v>33600000</v>
      </c>
      <c r="F10" s="59">
        <f>'E-Costos'!E87</f>
        <v>33600000</v>
      </c>
      <c r="G10" s="59">
        <f>'E-Costos'!F87</f>
        <v>33600000</v>
      </c>
      <c r="H10" s="203">
        <f>SUM(B10:G10)</f>
        <v>163646608.69565219</v>
      </c>
    </row>
    <row r="11" spans="1:8">
      <c r="A11" s="162" t="s">
        <v>329</v>
      </c>
      <c r="B11" s="87">
        <f>'F-IVA'!B19</f>
        <v>0</v>
      </c>
      <c r="C11" s="87">
        <f>'F-IVA'!C19</f>
        <v>3932238.4781956715</v>
      </c>
      <c r="D11" s="87">
        <f>'F-IVA'!D19</f>
        <v>3060935.3145933161</v>
      </c>
      <c r="E11" s="87">
        <f>'F-IVA'!E19</f>
        <v>0</v>
      </c>
      <c r="F11" s="87">
        <f>'F-IVA'!F19</f>
        <v>-30.845690230113103</v>
      </c>
      <c r="G11" s="87">
        <f>'F-IVA'!G19</f>
        <v>0</v>
      </c>
      <c r="H11" s="203">
        <f>SUM(B11:G11)</f>
        <v>6993142.9470987581</v>
      </c>
    </row>
    <row r="12" spans="1:8">
      <c r="A12" s="162"/>
      <c r="B12" s="59"/>
      <c r="C12" s="59"/>
      <c r="D12" s="59"/>
      <c r="E12" s="59"/>
      <c r="F12" s="59"/>
      <c r="G12" s="109"/>
      <c r="H12" s="60"/>
    </row>
    <row r="13" spans="1:8">
      <c r="A13" s="170" t="s">
        <v>330</v>
      </c>
      <c r="B13" s="59">
        <f>SUM(B14:B21)</f>
        <v>31886632.722227804</v>
      </c>
      <c r="C13" s="59">
        <f t="shared" ref="C13:G13" si="2">SUM(C14:C21)</f>
        <v>34957748.009640679</v>
      </c>
      <c r="D13" s="59">
        <f t="shared" si="2"/>
        <v>24588612.548679292</v>
      </c>
      <c r="E13" s="59">
        <f t="shared" si="2"/>
        <v>24892619.195897456</v>
      </c>
      <c r="F13" s="59">
        <f t="shared" si="2"/>
        <v>24116739.730349686</v>
      </c>
      <c r="G13" s="59">
        <f t="shared" si="2"/>
        <v>24021061.700279105</v>
      </c>
      <c r="H13" s="60">
        <f>SUM(B13:G13)</f>
        <v>164463413.90707403</v>
      </c>
    </row>
    <row r="14" spans="1:8">
      <c r="A14" s="162" t="s">
        <v>331</v>
      </c>
      <c r="B14" s="201">
        <f>'F-2 Estructura'!B8</f>
        <v>24408883.1446</v>
      </c>
      <c r="C14" s="201">
        <f>'F-2 Estructura'!C8</f>
        <v>0</v>
      </c>
      <c r="D14" s="201"/>
      <c r="E14" s="201"/>
      <c r="F14" s="201"/>
      <c r="G14" s="202"/>
      <c r="H14" s="203">
        <f>SUM(B14:G14)</f>
        <v>24408883.1446</v>
      </c>
    </row>
    <row r="15" spans="1:8">
      <c r="A15" s="162" t="s">
        <v>254</v>
      </c>
      <c r="B15" s="59">
        <f>'E-InvAT'!B24</f>
        <v>2037008.3613733919</v>
      </c>
      <c r="C15" s="59">
        <f>'E-InvAT'!C24</f>
        <v>10619044.713706356</v>
      </c>
      <c r="D15" s="59">
        <f>'E-InvAT'!D24</f>
        <v>-330464.79935384728</v>
      </c>
      <c r="E15" s="59">
        <f>'E-InvAT'!E24</f>
        <v>0</v>
      </c>
      <c r="F15" s="59">
        <f>'E-InvAT'!F24</f>
        <v>-146.88423918932676</v>
      </c>
      <c r="G15" s="59">
        <f>'E-InvAT'!G24</f>
        <v>0</v>
      </c>
      <c r="H15" s="203">
        <f>SUM(B15:G15)</f>
        <v>12325441.39148671</v>
      </c>
    </row>
    <row r="16" spans="1:8">
      <c r="A16" s="162" t="s">
        <v>332</v>
      </c>
      <c r="B16" s="59">
        <v>0</v>
      </c>
      <c r="C16" s="59">
        <f>'F-CRes'!B5+'F-CRes'!B8+'F-CRes'!B9+'F-CRes'!B10</f>
        <v>17787817.231014218</v>
      </c>
      <c r="D16" s="59">
        <f>'F-CRes'!C5+'F-CRes'!C8+'F-CRes'!C9+'F-CRes'!C10</f>
        <v>18856343.539884936</v>
      </c>
      <c r="E16" s="59">
        <f>'F-CRes'!D5+'F-CRes'!D8+'F-CRes'!D9+'F-CRes'!D10</f>
        <v>18708873.139884938</v>
      </c>
      <c r="F16" s="59">
        <f>'F-CRes'!E5+'F-CRes'!E8+'F-CRes'!E9+'F-CRes'!E10</f>
        <v>18546294.134621896</v>
      </c>
      <c r="G16" s="59">
        <f>'F-CRes'!F5+'F-CRes'!F8+'F-CRes'!F9+'F-CRes'!F10</f>
        <v>18398823.734621894</v>
      </c>
      <c r="H16" s="203">
        <f>SUM(B16:G16)</f>
        <v>92298151.780027881</v>
      </c>
    </row>
    <row r="17" spans="1:14">
      <c r="A17" s="162" t="s">
        <v>333</v>
      </c>
      <c r="B17" s="59">
        <v>0</v>
      </c>
      <c r="C17" s="59">
        <f>'F-CRes'!B13</f>
        <v>3876953.0068320869</v>
      </c>
      <c r="D17" s="59">
        <f>'F-CRes'!C13</f>
        <v>4997916.5622090641</v>
      </c>
      <c r="E17" s="59">
        <f>'F-CRes'!D13</f>
        <v>5049531.2022090647</v>
      </c>
      <c r="F17" s="59">
        <f>'F-CRes'!E13</f>
        <v>5106275.2136958679</v>
      </c>
      <c r="G17" s="59">
        <f>'F-CRes'!F13</f>
        <v>5157889.8536958685</v>
      </c>
      <c r="H17" s="203">
        <f>SUM(B17:G17)</f>
        <v>24188565.838641953</v>
      </c>
    </row>
    <row r="18" spans="1:14">
      <c r="A18" s="162" t="s">
        <v>334</v>
      </c>
      <c r="B18" s="201">
        <v>0</v>
      </c>
      <c r="C18" s="201">
        <f>'F-Cred'!E24</f>
        <v>670320</v>
      </c>
      <c r="D18" s="201">
        <f>'F-Cred'!E26</f>
        <v>670320</v>
      </c>
      <c r="E18" s="201">
        <f>'F-Cred'!E28</f>
        <v>670320</v>
      </c>
      <c r="F18" s="201">
        <f>'F-Cred'!E30</f>
        <v>0</v>
      </c>
      <c r="G18" s="202">
        <f>'F-Cred'!E32</f>
        <v>0</v>
      </c>
      <c r="H18" s="203">
        <f t="shared" ref="H18:H21" si="3">SUM(B18:G18)</f>
        <v>2010960</v>
      </c>
    </row>
    <row r="19" spans="1:14">
      <c r="A19" s="162" t="s">
        <v>335</v>
      </c>
      <c r="B19" s="59">
        <v>0</v>
      </c>
      <c r="C19" s="59">
        <f>'F-CRes'!B12</f>
        <v>381782.87368913868</v>
      </c>
      <c r="D19" s="59">
        <f>'F-CRes'!C12</f>
        <v>463894.85380345187</v>
      </c>
      <c r="E19" s="59">
        <f>'F-CRes'!D12</f>
        <v>463894.85380345187</v>
      </c>
      <c r="F19" s="59">
        <f>'F-CRes'!E12</f>
        <v>464348.11196134315</v>
      </c>
      <c r="G19" s="59">
        <f>'F-CRes'!F12</f>
        <v>464348.11196134315</v>
      </c>
      <c r="H19" s="203">
        <f t="shared" si="3"/>
        <v>2238268.8052187287</v>
      </c>
    </row>
    <row r="20" spans="1:14">
      <c r="A20" s="162" t="s">
        <v>336</v>
      </c>
      <c r="B20" s="201">
        <v>0</v>
      </c>
      <c r="C20" s="201">
        <v>0</v>
      </c>
      <c r="D20" s="201">
        <v>0</v>
      </c>
      <c r="E20" s="201">
        <v>0</v>
      </c>
      <c r="F20" s="201">
        <v>0</v>
      </c>
      <c r="G20" s="201">
        <v>0</v>
      </c>
      <c r="H20" s="203">
        <f t="shared" si="3"/>
        <v>0</v>
      </c>
    </row>
    <row r="21" spans="1:14">
      <c r="A21" s="162" t="s">
        <v>337</v>
      </c>
      <c r="B21" s="59">
        <f>'F-IVA'!B17</f>
        <v>5440741.2162544122</v>
      </c>
      <c r="C21" s="59">
        <f>'F-IVA'!C17</f>
        <v>1621830.1843988826</v>
      </c>
      <c r="D21" s="59">
        <f>'F-IVA'!D17</f>
        <v>-69397.607864307676</v>
      </c>
      <c r="E21" s="59">
        <f>'F-IVA'!E17</f>
        <v>0</v>
      </c>
      <c r="F21" s="59">
        <f>'F-IVA'!F17</f>
        <v>-30.845690230113103</v>
      </c>
      <c r="G21" s="59">
        <f>'F-IVA'!G17</f>
        <v>0</v>
      </c>
      <c r="H21" s="203">
        <f t="shared" si="3"/>
        <v>6993142.9470987581</v>
      </c>
    </row>
    <row r="22" spans="1:14">
      <c r="A22" s="162" t="s">
        <v>338</v>
      </c>
      <c r="B22" s="87"/>
      <c r="C22" s="87"/>
      <c r="D22" s="87"/>
      <c r="E22" s="87"/>
      <c r="F22" s="87"/>
      <c r="G22" s="200"/>
      <c r="H22" s="88"/>
    </row>
    <row r="23" spans="1:14">
      <c r="A23" s="162"/>
      <c r="B23" s="80"/>
      <c r="C23" s="80"/>
      <c r="D23" s="80"/>
      <c r="E23" s="80"/>
      <c r="F23" s="80"/>
      <c r="G23" s="110"/>
      <c r="H23" s="81"/>
    </row>
    <row r="24" spans="1:14">
      <c r="A24" s="170" t="s">
        <v>339</v>
      </c>
      <c r="B24" s="59">
        <f>B5-B13</f>
        <v>0</v>
      </c>
      <c r="C24" s="59">
        <f t="shared" ref="C24:G24" si="4">C5-C13</f>
        <v>12498982.423685804</v>
      </c>
      <c r="D24" s="59">
        <f t="shared" si="4"/>
        <v>25857232.36913316</v>
      </c>
      <c r="E24" s="59">
        <f t="shared" si="4"/>
        <v>35414832.352769032</v>
      </c>
      <c r="F24" s="59">
        <f t="shared" si="4"/>
        <v>45748280.956262439</v>
      </c>
      <c r="G24" s="59">
        <f t="shared" si="4"/>
        <v>56162941.658983335</v>
      </c>
      <c r="H24" s="60">
        <f>H5-H13</f>
        <v>175682269.7608338</v>
      </c>
    </row>
    <row r="25" spans="1:14">
      <c r="A25" s="170" t="s">
        <v>340</v>
      </c>
      <c r="B25" s="59"/>
      <c r="C25" s="59">
        <f>'E-Inv AF y Am'!D56+'F-Cred'!K21</f>
        <v>1285927.1795333335</v>
      </c>
      <c r="D25" s="59">
        <f>'E-Inv AF y Am'!D56</f>
        <v>850219.1795333334</v>
      </c>
      <c r="E25" s="59">
        <f>'E-Inv AF y Am'!D56</f>
        <v>850219.1795333334</v>
      </c>
      <c r="F25" s="59">
        <f>'E-Inv AF y Am'!E56</f>
        <v>835722.40300000005</v>
      </c>
      <c r="G25" s="109">
        <f>'E-Inv AF y Am'!E56</f>
        <v>835722.40300000005</v>
      </c>
      <c r="H25" s="60">
        <f>SUM(B25:G25)</f>
        <v>4657810.3446000004</v>
      </c>
    </row>
    <row r="26" spans="1:14">
      <c r="A26" s="170"/>
      <c r="B26" s="80"/>
      <c r="C26" s="80"/>
      <c r="D26" s="80"/>
      <c r="E26" s="80"/>
      <c r="F26" s="80"/>
      <c r="G26" s="110"/>
      <c r="H26" s="81"/>
    </row>
    <row r="27" spans="1:14">
      <c r="A27" s="170" t="s">
        <v>341</v>
      </c>
      <c r="B27" s="89">
        <f>B24+B25</f>
        <v>0</v>
      </c>
      <c r="C27" s="89">
        <f>C24+C25</f>
        <v>13784909.603219137</v>
      </c>
      <c r="D27" s="89">
        <f t="shared" ref="D27:F27" si="5">D24+D25</f>
        <v>26707451.548666492</v>
      </c>
      <c r="E27" s="89">
        <f t="shared" si="5"/>
        <v>36265051.532302365</v>
      </c>
      <c r="F27" s="89">
        <f t="shared" si="5"/>
        <v>46584003.359262437</v>
      </c>
      <c r="G27" s="89">
        <f>G24+G25</f>
        <v>56998664.061983332</v>
      </c>
      <c r="H27" s="90">
        <f>H24+H25</f>
        <v>180340080.10543379</v>
      </c>
    </row>
    <row r="28" spans="1:14">
      <c r="A28" s="178" t="s">
        <v>342</v>
      </c>
      <c r="B28" s="28">
        <f>B27</f>
        <v>0</v>
      </c>
      <c r="C28" s="28">
        <f>C27-B27</f>
        <v>13784909.603219137</v>
      </c>
      <c r="D28" s="28">
        <f>D27-C27</f>
        <v>12922541.945447356</v>
      </c>
      <c r="E28" s="28">
        <f>E27-D27</f>
        <v>9557599.9836358726</v>
      </c>
      <c r="F28" s="28">
        <f>F27-E27</f>
        <v>10318951.826960072</v>
      </c>
      <c r="G28" s="204">
        <f>G27-F27</f>
        <v>10414660.702720895</v>
      </c>
      <c r="H28" s="51">
        <f>SUM(B28:G28)</f>
        <v>56998664.061983332</v>
      </c>
      <c r="I28" s="162"/>
      <c r="J28" s="162"/>
      <c r="K28" s="162"/>
      <c r="L28" s="162"/>
      <c r="M28" s="162"/>
      <c r="N28" s="162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zoomScale="89" zoomScaleNormal="89" workbookViewId="0">
      <selection activeCell="C27" sqref="C27"/>
    </sheetView>
  </sheetViews>
  <sheetFormatPr baseColWidth="10" defaultColWidth="11.42578125" defaultRowHeight="12.75"/>
  <cols>
    <col min="1" max="1" width="37.7109375" style="162" customWidth="1"/>
    <col min="2" max="4" width="16.140625" style="162" bestFit="1" customWidth="1"/>
    <col min="5" max="5" width="17.28515625" style="162" bestFit="1" customWidth="1"/>
    <col min="6" max="6" width="19.28515625" style="162" customWidth="1"/>
    <col min="7" max="7" width="19" style="162" customWidth="1"/>
    <col min="8" max="8" width="17.42578125" style="162" customWidth="1"/>
    <col min="9" max="16384" width="11.42578125" style="162"/>
  </cols>
  <sheetData>
    <row r="1" spans="1:7">
      <c r="A1" s="1" t="s">
        <v>0</v>
      </c>
      <c r="B1"/>
      <c r="C1"/>
      <c r="D1"/>
      <c r="E1" s="2">
        <f>InfoInicial!E1</f>
        <v>0</v>
      </c>
    </row>
    <row r="3" spans="1:7" ht="15.75">
      <c r="A3" s="192" t="s">
        <v>343</v>
      </c>
      <c r="B3" s="193"/>
      <c r="C3" s="193"/>
      <c r="D3" s="193"/>
      <c r="E3" s="193"/>
      <c r="F3" s="193"/>
      <c r="G3" s="195"/>
    </row>
    <row r="4" spans="1:7" ht="13.5" thickBot="1">
      <c r="A4" s="205"/>
      <c r="B4" s="206" t="s">
        <v>48</v>
      </c>
      <c r="C4" s="206" t="s">
        <v>49</v>
      </c>
      <c r="D4" s="206" t="s">
        <v>90</v>
      </c>
      <c r="E4" s="206" t="s">
        <v>91</v>
      </c>
      <c r="F4" s="206" t="s">
        <v>92</v>
      </c>
      <c r="G4" s="207" t="s">
        <v>93</v>
      </c>
    </row>
    <row r="5" spans="1:7">
      <c r="A5" s="350" t="s">
        <v>344</v>
      </c>
      <c r="B5" s="351">
        <f>SUM(B7:B11)</f>
        <v>7477749.5776278041</v>
      </c>
      <c r="C5" s="351">
        <f t="shared" ref="C5:G5" si="0">SUM(C7:C11)</f>
        <v>29571295.600756511</v>
      </c>
      <c r="D5" s="351">
        <f t="shared" si="0"/>
        <v>39033039.824392393</v>
      </c>
      <c r="E5" s="351">
        <f t="shared" si="0"/>
        <v>48590639.808028266</v>
      </c>
      <c r="F5" s="351">
        <f t="shared" si="0"/>
        <v>58909444.750749148</v>
      </c>
      <c r="G5" s="352">
        <f t="shared" si="0"/>
        <v>69324105.453470051</v>
      </c>
    </row>
    <row r="6" spans="1:7">
      <c r="A6" s="353" t="s">
        <v>345</v>
      </c>
      <c r="B6" s="80"/>
      <c r="C6" s="80"/>
      <c r="D6" s="80"/>
      <c r="E6" s="80"/>
      <c r="F6" s="80"/>
      <c r="G6" s="354"/>
    </row>
    <row r="7" spans="1:7">
      <c r="A7" s="355" t="s">
        <v>346</v>
      </c>
      <c r="B7" s="201">
        <f>'E-InvAT'!B6</f>
        <v>537600</v>
      </c>
      <c r="C7" s="201">
        <f>'E-InvAT'!C6</f>
        <v>672000</v>
      </c>
      <c r="D7" s="201">
        <f>'E-InvAT'!D6</f>
        <v>672000</v>
      </c>
      <c r="E7" s="201">
        <f>'E-InvAT'!E6</f>
        <v>672000</v>
      </c>
      <c r="F7" s="201">
        <f>'E-InvAT'!F6</f>
        <v>672000</v>
      </c>
      <c r="G7" s="356">
        <f>'E-InvAT'!G6</f>
        <v>672000</v>
      </c>
    </row>
    <row r="8" spans="1:7">
      <c r="A8" s="355" t="s">
        <v>347</v>
      </c>
      <c r="B8" s="59"/>
      <c r="C8" s="59">
        <f>'F- CFyU'!C27</f>
        <v>13784909.603219137</v>
      </c>
      <c r="D8" s="59">
        <f>'F- CFyU'!D27</f>
        <v>26707451.548666492</v>
      </c>
      <c r="E8" s="59">
        <f>'F- CFyU'!E27</f>
        <v>36265051.532302365</v>
      </c>
      <c r="F8" s="59">
        <f>'F- CFyU'!F27</f>
        <v>46584003.359262437</v>
      </c>
      <c r="G8" s="59">
        <f>'F- CFyU'!G27</f>
        <v>56998664.061983332</v>
      </c>
    </row>
    <row r="9" spans="1:7">
      <c r="A9" s="353" t="s">
        <v>348</v>
      </c>
      <c r="B9" s="201">
        <f>'E-InvAT'!B7</f>
        <v>0</v>
      </c>
      <c r="C9" s="201">
        <f>'E-InvAT'!C7</f>
        <v>2761643.8356164382</v>
      </c>
      <c r="D9" s="201">
        <f>'E-InvAT'!D7</f>
        <v>2761643.8356164382</v>
      </c>
      <c r="E9" s="201">
        <f>'E-InvAT'!E7</f>
        <v>2761643.8356164382</v>
      </c>
      <c r="F9" s="201">
        <f>'E-InvAT'!F7</f>
        <v>2761643.8356164382</v>
      </c>
      <c r="G9" s="356">
        <f>'E-InvAT'!G7</f>
        <v>2761643.8356164382</v>
      </c>
    </row>
    <row r="10" spans="1:7">
      <c r="A10" s="353" t="s">
        <v>349</v>
      </c>
      <c r="B10" s="59">
        <f>'E-InvAT'!B9</f>
        <v>1499408.3613733919</v>
      </c>
      <c r="C10" s="59">
        <f>'E-InvAT'!C9</f>
        <v>9222409.2394633107</v>
      </c>
      <c r="D10" s="59">
        <f>'E-InvAT'!D9</f>
        <v>8891944.4401094634</v>
      </c>
      <c r="E10" s="59">
        <f>'E-InvAT'!E9</f>
        <v>8891944.4401094634</v>
      </c>
      <c r="F10" s="59">
        <f>'E-InvAT'!F9</f>
        <v>8891797.5558702741</v>
      </c>
      <c r="G10" s="357">
        <f>'E-InvAT'!G9</f>
        <v>8891797.5558702741</v>
      </c>
    </row>
    <row r="11" spans="1:7" ht="13.5" thickBot="1">
      <c r="A11" s="358" t="s">
        <v>350</v>
      </c>
      <c r="B11" s="359">
        <f>'F-IVA'!B18</f>
        <v>5440741.2162544122</v>
      </c>
      <c r="C11" s="359">
        <f>'F-IVA'!C18</f>
        <v>3130332.9224576238</v>
      </c>
      <c r="D11" s="359"/>
      <c r="E11" s="359"/>
      <c r="F11" s="359"/>
      <c r="G11" s="360"/>
    </row>
    <row r="12" spans="1:7">
      <c r="A12" s="350" t="s">
        <v>351</v>
      </c>
      <c r="B12" s="351"/>
      <c r="C12" s="351"/>
      <c r="D12" s="351"/>
      <c r="E12" s="351"/>
      <c r="F12" s="351"/>
      <c r="G12" s="352"/>
    </row>
    <row r="13" spans="1:7">
      <c r="A13" s="353" t="s">
        <v>352</v>
      </c>
      <c r="B13" s="208"/>
      <c r="C13" s="208"/>
      <c r="D13" s="208"/>
      <c r="E13" s="208"/>
      <c r="F13" s="208"/>
      <c r="G13" s="361"/>
    </row>
    <row r="14" spans="1:7">
      <c r="A14" s="355" t="s">
        <v>353</v>
      </c>
      <c r="B14" s="59">
        <f>'F-2 Estructura'!B7</f>
        <v>466908</v>
      </c>
      <c r="C14" s="59">
        <f>B17</f>
        <v>466908</v>
      </c>
      <c r="D14" s="59">
        <f>C17</f>
        <v>24960</v>
      </c>
      <c r="E14" s="59">
        <f>D17</f>
        <v>18720</v>
      </c>
      <c r="F14" s="59">
        <f>E17</f>
        <v>12480</v>
      </c>
      <c r="G14" s="59">
        <f>F17</f>
        <v>6240</v>
      </c>
    </row>
    <row r="15" spans="1:7">
      <c r="A15" s="355" t="s">
        <v>354</v>
      </c>
      <c r="B15" s="201">
        <v>0</v>
      </c>
      <c r="C15" s="201">
        <f>'F-2 Estructura'!C7</f>
        <v>0</v>
      </c>
      <c r="D15" s="201"/>
      <c r="E15" s="201"/>
      <c r="F15" s="201"/>
      <c r="G15" s="356"/>
    </row>
    <row r="16" spans="1:7">
      <c r="A16" s="355" t="s">
        <v>355</v>
      </c>
      <c r="B16" s="59">
        <v>0</v>
      </c>
      <c r="C16" s="59">
        <f>'E-Inv AF y Am'!D53+'F-2 Estructura'!H7</f>
        <v>441948</v>
      </c>
      <c r="D16" s="59">
        <f>'E-Inv AF y Am'!D53</f>
        <v>6240</v>
      </c>
      <c r="E16" s="59">
        <f>'E-Inv AF y Am'!D53</f>
        <v>6240</v>
      </c>
      <c r="F16" s="59">
        <f>'E-Inv AF y Am'!E53</f>
        <v>6240</v>
      </c>
      <c r="G16" s="357">
        <f>'E-Inv AF y Am'!E53</f>
        <v>6240</v>
      </c>
    </row>
    <row r="17" spans="1:7">
      <c r="A17" s="355" t="s">
        <v>356</v>
      </c>
      <c r="B17" s="59">
        <f>B14+B15-B16</f>
        <v>466908</v>
      </c>
      <c r="C17" s="59">
        <f t="shared" ref="C17:G17" si="1">C14+C15-C16</f>
        <v>24960</v>
      </c>
      <c r="D17" s="59">
        <f t="shared" si="1"/>
        <v>18720</v>
      </c>
      <c r="E17" s="59">
        <f t="shared" si="1"/>
        <v>12480</v>
      </c>
      <c r="F17" s="59">
        <f t="shared" si="1"/>
        <v>6240</v>
      </c>
      <c r="G17" s="59">
        <f t="shared" si="1"/>
        <v>0</v>
      </c>
    </row>
    <row r="18" spans="1:7">
      <c r="A18" s="353" t="s">
        <v>82</v>
      </c>
      <c r="B18" s="201"/>
      <c r="C18" s="201"/>
      <c r="D18" s="201"/>
      <c r="E18" s="201"/>
      <c r="F18" s="201"/>
      <c r="G18" s="356"/>
    </row>
    <row r="19" spans="1:7">
      <c r="A19" s="355" t="s">
        <v>353</v>
      </c>
      <c r="B19" s="59">
        <f>'F-2 Estructura'!B6</f>
        <v>23941975.1446</v>
      </c>
      <c r="C19" s="59">
        <f>B22</f>
        <v>23941975.1446</v>
      </c>
      <c r="D19" s="59">
        <f>C22</f>
        <v>23097995.965066668</v>
      </c>
      <c r="E19" s="59">
        <f>'F-2 Estructura'!E6</f>
        <v>0</v>
      </c>
      <c r="F19" s="59">
        <f>E22</f>
        <v>-843979.1795333334</v>
      </c>
      <c r="G19" s="59">
        <f>F22</f>
        <v>-1673461.5825333335</v>
      </c>
    </row>
    <row r="20" spans="1:7">
      <c r="A20" s="355" t="s">
        <v>357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357">
        <v>0</v>
      </c>
    </row>
    <row r="21" spans="1:7">
      <c r="A21" s="355" t="s">
        <v>358</v>
      </c>
      <c r="B21" s="59">
        <v>0</v>
      </c>
      <c r="C21" s="59">
        <f>'E-Inv AF y Am'!D51</f>
        <v>843979.1795333334</v>
      </c>
      <c r="D21" s="59">
        <f>'E-Inv AF y Am'!D51</f>
        <v>843979.1795333334</v>
      </c>
      <c r="E21" s="59">
        <f>'E-Inv AF y Am'!D51</f>
        <v>843979.1795333334</v>
      </c>
      <c r="F21" s="59">
        <f>'E-Inv AF y Am'!E51</f>
        <v>829482.40300000005</v>
      </c>
      <c r="G21" s="357">
        <f>'E-Inv AF y Am'!E51</f>
        <v>829482.40300000005</v>
      </c>
    </row>
    <row r="22" spans="1:7">
      <c r="A22" s="355" t="s">
        <v>356</v>
      </c>
      <c r="B22" s="201">
        <f>B19+B20-B21</f>
        <v>23941975.1446</v>
      </c>
      <c r="C22" s="201">
        <f t="shared" ref="C22:G22" si="2">C19+C20-C21</f>
        <v>23097995.965066668</v>
      </c>
      <c r="D22" s="201">
        <f t="shared" si="2"/>
        <v>22254016.785533335</v>
      </c>
      <c r="E22" s="201">
        <f t="shared" si="2"/>
        <v>-843979.1795333334</v>
      </c>
      <c r="F22" s="201">
        <f t="shared" si="2"/>
        <v>-1673461.5825333335</v>
      </c>
      <c r="G22" s="201">
        <f t="shared" si="2"/>
        <v>-2502943.9855333334</v>
      </c>
    </row>
    <row r="23" spans="1:7" ht="13.5" thickBot="1">
      <c r="A23" s="358" t="s">
        <v>359</v>
      </c>
      <c r="B23" s="425"/>
      <c r="C23" s="425"/>
      <c r="D23" s="425"/>
      <c r="E23" s="425"/>
      <c r="F23" s="425"/>
      <c r="G23" s="426"/>
    </row>
    <row r="24" spans="1:7" ht="13.5" thickBot="1">
      <c r="A24" s="362" t="s">
        <v>360</v>
      </c>
      <c r="B24" s="363"/>
      <c r="C24" s="363"/>
      <c r="D24" s="363"/>
      <c r="E24" s="363"/>
      <c r="F24" s="363"/>
      <c r="G24" s="364"/>
    </row>
    <row r="25" spans="1:7">
      <c r="A25" s="350" t="s">
        <v>361</v>
      </c>
      <c r="B25" s="365">
        <f>SUM(B26:B27)</f>
        <v>670320</v>
      </c>
      <c r="C25" s="365">
        <f t="shared" ref="C25:G25" si="3">SUM(C26:C27)</f>
        <v>1502776.6666666665</v>
      </c>
      <c r="D25" s="365">
        <f t="shared" si="3"/>
        <v>1502776.6666666665</v>
      </c>
      <c r="E25" s="365">
        <f t="shared" si="3"/>
        <v>832456.66666666663</v>
      </c>
      <c r="F25" s="365">
        <f t="shared" si="3"/>
        <v>832456.66666666663</v>
      </c>
      <c r="G25" s="365">
        <f t="shared" si="3"/>
        <v>832456.66666666663</v>
      </c>
    </row>
    <row r="26" spans="1:7">
      <c r="A26" s="353" t="s">
        <v>362</v>
      </c>
      <c r="B26" s="201"/>
      <c r="C26" s="201">
        <f>'Crédito renovable'!L7</f>
        <v>832456.66666666663</v>
      </c>
      <c r="D26" s="201">
        <f>'Crédito renovable'!L11</f>
        <v>832456.66666666663</v>
      </c>
      <c r="E26" s="201">
        <f>'Crédito renovable'!L15</f>
        <v>832456.66666666663</v>
      </c>
      <c r="F26" s="201">
        <f>'Crédito renovable'!L19</f>
        <v>832456.66666666663</v>
      </c>
      <c r="G26" s="356">
        <f>'Crédito renovable'!L23</f>
        <v>832456.66666666663</v>
      </c>
    </row>
    <row r="27" spans="1:7" ht="13.5" thickBot="1">
      <c r="A27" s="372" t="s">
        <v>363</v>
      </c>
      <c r="B27" s="73">
        <f>'F-Cred'!E24</f>
        <v>670320</v>
      </c>
      <c r="C27" s="73">
        <f>'F-Cred'!E26</f>
        <v>670320</v>
      </c>
      <c r="D27" s="73">
        <f>'F-Cred'!E28</f>
        <v>670320</v>
      </c>
      <c r="E27" s="73">
        <f>'F-Cred'!E30</f>
        <v>0</v>
      </c>
      <c r="F27" s="73">
        <f>'F-Cred'!E32</f>
        <v>0</v>
      </c>
      <c r="G27" s="373">
        <v>0</v>
      </c>
    </row>
    <row r="28" spans="1:7">
      <c r="A28" s="350" t="s">
        <v>364</v>
      </c>
      <c r="B28" s="369">
        <f>B29</f>
        <v>4184056.6666666665</v>
      </c>
      <c r="C28" s="369">
        <f t="shared" ref="C28:G28" si="4">C29</f>
        <v>3513736.6666666665</v>
      </c>
      <c r="D28" s="369">
        <f t="shared" si="4"/>
        <v>2843416.6666666665</v>
      </c>
      <c r="E28" s="369">
        <f t="shared" si="4"/>
        <v>2843416.6666666665</v>
      </c>
      <c r="F28" s="369">
        <f t="shared" si="4"/>
        <v>2843416.6666666665</v>
      </c>
      <c r="G28" s="369">
        <f t="shared" si="4"/>
        <v>2843416.6666666665</v>
      </c>
    </row>
    <row r="29" spans="1:7" ht="13.5" thickBot="1">
      <c r="A29" s="358" t="s">
        <v>363</v>
      </c>
      <c r="B29" s="425">
        <f>'F-Cred'!B22</f>
        <v>4184056.6666666665</v>
      </c>
      <c r="C29" s="425">
        <f>B29-C27</f>
        <v>3513736.6666666665</v>
      </c>
      <c r="D29" s="425">
        <f t="shared" ref="D29:G29" si="5">C29-D27</f>
        <v>2843416.6666666665</v>
      </c>
      <c r="E29" s="425">
        <f t="shared" si="5"/>
        <v>2843416.6666666665</v>
      </c>
      <c r="F29" s="425">
        <f t="shared" si="5"/>
        <v>2843416.6666666665</v>
      </c>
      <c r="G29" s="425">
        <f t="shared" si="5"/>
        <v>2843416.6666666665</v>
      </c>
    </row>
    <row r="30" spans="1:7" ht="13.5" thickBot="1">
      <c r="A30" s="362" t="s">
        <v>365</v>
      </c>
      <c r="B30" s="366">
        <f>B28+B25</f>
        <v>4854376.666666666</v>
      </c>
      <c r="C30" s="366">
        <f>C28+C25</f>
        <v>5016513.333333333</v>
      </c>
      <c r="D30" s="366">
        <f t="shared" ref="D30:F30" si="6">D28+D25</f>
        <v>4346193.333333333</v>
      </c>
      <c r="E30" s="366">
        <f t="shared" si="6"/>
        <v>3675873.333333333</v>
      </c>
      <c r="F30" s="366">
        <f t="shared" si="6"/>
        <v>3675873.333333333</v>
      </c>
      <c r="G30" s="366">
        <f>G28+G25</f>
        <v>3675873.333333333</v>
      </c>
    </row>
    <row r="31" spans="1:7">
      <c r="A31" s="350" t="s">
        <v>366</v>
      </c>
      <c r="B31" s="369">
        <f>SUM(B32:B34)</f>
        <v>28535032.722227804</v>
      </c>
      <c r="C31" s="369">
        <f t="shared" ref="C31:G31" si="7">SUM(C32:C34)</f>
        <v>49180514.899156503</v>
      </c>
      <c r="D31" s="369">
        <f t="shared" si="7"/>
        <v>58462359.943259053</v>
      </c>
      <c r="E31" s="369">
        <f t="shared" si="7"/>
        <v>67840060.7473616</v>
      </c>
      <c r="F31" s="369">
        <f t="shared" si="7"/>
        <v>77323143.287082493</v>
      </c>
      <c r="G31" s="369">
        <f t="shared" si="7"/>
        <v>86902081.586803406</v>
      </c>
    </row>
    <row r="32" spans="1:7">
      <c r="A32" s="353" t="s">
        <v>367</v>
      </c>
      <c r="B32" s="59">
        <f>'F-2 Estructura'!B31</f>
        <v>28535032.722227804</v>
      </c>
      <c r="C32" s="59">
        <f>'F-2 Estructura'!D31</f>
        <v>41980459.315039769</v>
      </c>
      <c r="D32" s="59">
        <f>'F-2 Estructura'!D31</f>
        <v>41980459.315039769</v>
      </c>
      <c r="E32" s="59">
        <f>'F-2 Estructura'!D31</f>
        <v>41980459.315039769</v>
      </c>
      <c r="F32" s="59">
        <f>'F-2 Estructura'!D31</f>
        <v>41980459.315039769</v>
      </c>
      <c r="G32" s="357">
        <f>'F-2 Estructura'!D31</f>
        <v>41980459.315039769</v>
      </c>
    </row>
    <row r="33" spans="1:7">
      <c r="A33" s="353" t="s">
        <v>368</v>
      </c>
      <c r="B33" s="201"/>
      <c r="C33" s="201">
        <f>'F-CRes'!B14</f>
        <v>7200055.5841167327</v>
      </c>
      <c r="D33" s="201">
        <f>'F-CRes'!C14</f>
        <v>9281845.0441025496</v>
      </c>
      <c r="E33" s="201">
        <f>'F-CRes'!D14</f>
        <v>9377700.8041025493</v>
      </c>
      <c r="F33" s="201">
        <f>'F-CRes'!E14</f>
        <v>9483082.5397209004</v>
      </c>
      <c r="G33" s="201">
        <f>'F-CRes'!F14</f>
        <v>9578938.2997208983</v>
      </c>
    </row>
    <row r="34" spans="1:7" ht="13.5" thickBot="1">
      <c r="A34" s="358" t="s">
        <v>369</v>
      </c>
      <c r="B34" s="370"/>
      <c r="C34" s="370"/>
      <c r="D34" s="370">
        <f>C33</f>
        <v>7200055.5841167327</v>
      </c>
      <c r="E34" s="370">
        <f>D34+D33</f>
        <v>16481900.628219282</v>
      </c>
      <c r="F34" s="370">
        <f>E34+E33</f>
        <v>25859601.432321832</v>
      </c>
      <c r="G34" s="371">
        <f>F34+F33</f>
        <v>35342683.972042732</v>
      </c>
    </row>
    <row r="35" spans="1:7" ht="13.5" thickBot="1">
      <c r="A35" s="367" t="s">
        <v>370</v>
      </c>
      <c r="B35" s="368">
        <f>B30+B31</f>
        <v>33389409.388894469</v>
      </c>
      <c r="C35" s="368">
        <f t="shared" ref="C35:G35" si="8">C30+C31</f>
        <v>54197028.232489839</v>
      </c>
      <c r="D35" s="368">
        <f t="shared" si="8"/>
        <v>62808553.276592389</v>
      </c>
      <c r="E35" s="368">
        <f t="shared" si="8"/>
        <v>71515934.080694929</v>
      </c>
      <c r="F35" s="368">
        <f t="shared" si="8"/>
        <v>80999016.620415822</v>
      </c>
      <c r="G35" s="368">
        <f t="shared" si="8"/>
        <v>90577954.920136735</v>
      </c>
    </row>
    <row r="36" spans="1:7" ht="13.5" thickTop="1"/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661"/>
  <sheetViews>
    <sheetView zoomScale="95" zoomScaleNormal="95" workbookViewId="0">
      <selection activeCell="A29" sqref="A29"/>
    </sheetView>
  </sheetViews>
  <sheetFormatPr baseColWidth="10" defaultColWidth="9.140625" defaultRowHeight="12.75"/>
  <cols>
    <col min="1" max="1" width="42.28515625" customWidth="1"/>
    <col min="2" max="3" width="11.42578125" customWidth="1"/>
    <col min="4" max="4" width="17.42578125" customWidth="1"/>
    <col min="5" max="256" width="11.42578125" customWidth="1"/>
  </cols>
  <sheetData>
    <row r="1" spans="1:7">
      <c r="A1" s="1" t="s">
        <v>0</v>
      </c>
      <c r="E1" s="2"/>
    </row>
    <row r="3" spans="1:7">
      <c r="A3" s="3" t="s">
        <v>1</v>
      </c>
      <c r="B3" s="4">
        <v>0.21</v>
      </c>
    </row>
    <row r="4" spans="1:7">
      <c r="A4" s="3" t="s">
        <v>2</v>
      </c>
      <c r="B4" s="4">
        <v>0.35</v>
      </c>
    </row>
    <row r="5" spans="1:7">
      <c r="A5" s="3" t="s">
        <v>3</v>
      </c>
      <c r="B5" s="4">
        <v>0.03</v>
      </c>
      <c r="C5" t="s">
        <v>4</v>
      </c>
      <c r="G5" s="5"/>
    </row>
    <row r="7" spans="1:7">
      <c r="A7" s="3" t="s">
        <v>5</v>
      </c>
      <c r="B7" t="s">
        <v>6</v>
      </c>
    </row>
    <row r="8" spans="1:7">
      <c r="A8" s="6" t="s">
        <v>7</v>
      </c>
      <c r="B8" s="7">
        <v>30</v>
      </c>
      <c r="C8" t="s">
        <v>8</v>
      </c>
    </row>
    <row r="9" spans="1:7">
      <c r="A9" s="6" t="s">
        <v>9</v>
      </c>
      <c r="B9" s="7">
        <v>10</v>
      </c>
      <c r="C9" t="s">
        <v>8</v>
      </c>
    </row>
    <row r="10" spans="1:7">
      <c r="A10" s="6" t="s">
        <v>10</v>
      </c>
      <c r="B10" s="7">
        <v>10</v>
      </c>
      <c r="C10" t="s">
        <v>8</v>
      </c>
    </row>
    <row r="11" spans="1:7">
      <c r="A11" s="6" t="s">
        <v>11</v>
      </c>
      <c r="B11" s="7">
        <v>5</v>
      </c>
      <c r="C11" t="s">
        <v>8</v>
      </c>
    </row>
    <row r="12" spans="1:7">
      <c r="A12" s="6" t="s">
        <v>12</v>
      </c>
      <c r="B12" s="7">
        <v>5</v>
      </c>
      <c r="C12" t="s">
        <v>8</v>
      </c>
    </row>
    <row r="13" spans="1:7">
      <c r="A13" s="6" t="s">
        <v>13</v>
      </c>
      <c r="B13" s="7">
        <v>3</v>
      </c>
      <c r="C13" t="s">
        <v>8</v>
      </c>
    </row>
    <row r="14" spans="1:7">
      <c r="A14" s="6" t="s">
        <v>14</v>
      </c>
      <c r="B14" s="7">
        <v>5</v>
      </c>
      <c r="C14" t="s">
        <v>8</v>
      </c>
    </row>
    <row r="15" spans="1:7">
      <c r="A15" s="6" t="s">
        <v>15</v>
      </c>
      <c r="B15" s="8">
        <v>0.04</v>
      </c>
    </row>
    <row r="17" spans="1:7">
      <c r="A17" s="3" t="s">
        <v>16</v>
      </c>
      <c r="B17" s="9" t="s">
        <v>17</v>
      </c>
      <c r="C17" s="10"/>
      <c r="D17" s="10"/>
      <c r="E17" s="10"/>
      <c r="F17" s="10"/>
      <c r="G17" s="11"/>
    </row>
    <row r="19" spans="1:7">
      <c r="A19" s="3" t="s">
        <v>18</v>
      </c>
      <c r="B19" s="223">
        <v>24000</v>
      </c>
      <c r="C19" t="s">
        <v>19</v>
      </c>
    </row>
    <row r="20" spans="1:7">
      <c r="A20" s="3" t="s">
        <v>20</v>
      </c>
      <c r="B20" s="12">
        <v>1400</v>
      </c>
      <c r="C20" t="s">
        <v>21</v>
      </c>
    </row>
    <row r="22" spans="1:7">
      <c r="A22" s="3" t="s">
        <v>22</v>
      </c>
    </row>
    <row r="23" spans="1:7">
      <c r="A23" s="3" t="s">
        <v>23</v>
      </c>
      <c r="B23" s="12">
        <v>5</v>
      </c>
      <c r="C23" t="s">
        <v>24</v>
      </c>
    </row>
    <row r="24" spans="1:7">
      <c r="A24" s="3" t="s">
        <v>25</v>
      </c>
      <c r="B24" s="12">
        <v>2</v>
      </c>
      <c r="C24" t="s">
        <v>24</v>
      </c>
    </row>
    <row r="25" spans="1:7">
      <c r="A25" s="3" t="s">
        <v>26</v>
      </c>
      <c r="B25" s="12">
        <v>2</v>
      </c>
      <c r="C25" t="s">
        <v>24</v>
      </c>
    </row>
    <row r="27" spans="1:7">
      <c r="A27" s="3" t="s">
        <v>27</v>
      </c>
      <c r="B27" s="12">
        <v>525</v>
      </c>
      <c r="C27" t="s">
        <v>28</v>
      </c>
    </row>
    <row r="28" spans="1:7">
      <c r="A28" s="3" t="s">
        <v>29</v>
      </c>
      <c r="B28" s="12">
        <v>11</v>
      </c>
      <c r="C28" t="s">
        <v>30</v>
      </c>
    </row>
    <row r="29" spans="1:7">
      <c r="A29" s="3" t="s">
        <v>31</v>
      </c>
      <c r="B29" s="12">
        <v>3</v>
      </c>
      <c r="C29" t="s">
        <v>30</v>
      </c>
    </row>
    <row r="32" spans="1:7">
      <c r="A32" s="3" t="s">
        <v>32</v>
      </c>
      <c r="B32" s="12">
        <v>15.2</v>
      </c>
      <c r="C32" t="s">
        <v>33</v>
      </c>
      <c r="D32" s="12">
        <v>1</v>
      </c>
      <c r="E32" t="s">
        <v>34</v>
      </c>
    </row>
    <row r="33" spans="1:7">
      <c r="A33" s="13"/>
    </row>
    <row r="34" spans="1:7">
      <c r="A34" s="13"/>
    </row>
    <row r="35" spans="1:7">
      <c r="A35" s="3" t="s">
        <v>35</v>
      </c>
      <c r="B35" s="323">
        <v>0.22</v>
      </c>
      <c r="C35" t="s">
        <v>36</v>
      </c>
      <c r="G35" s="5" t="s">
        <v>37</v>
      </c>
    </row>
    <row r="36" spans="1:7">
      <c r="A36" s="3" t="s">
        <v>38</v>
      </c>
      <c r="B36" s="474" t="s">
        <v>523</v>
      </c>
      <c r="C36" s="474"/>
      <c r="D36" s="474"/>
    </row>
    <row r="37" spans="1:7">
      <c r="A37" s="3" t="s">
        <v>39</v>
      </c>
      <c r="B37" s="324">
        <v>0.6</v>
      </c>
    </row>
    <row r="38" spans="1:7">
      <c r="A38" s="3"/>
      <c r="B38" s="265"/>
    </row>
    <row r="39" spans="1:7">
      <c r="A39" s="3" t="s">
        <v>40</v>
      </c>
      <c r="B39" s="326">
        <v>90</v>
      </c>
    </row>
    <row r="40" spans="1:7">
      <c r="A40" s="3" t="s">
        <v>41</v>
      </c>
      <c r="B40" s="325">
        <v>0.6</v>
      </c>
    </row>
    <row r="41" spans="1:7">
      <c r="A41" s="3" t="s">
        <v>42</v>
      </c>
      <c r="B41" s="325">
        <v>0.2</v>
      </c>
      <c r="C41" t="s">
        <v>36</v>
      </c>
    </row>
    <row r="42" spans="1:7">
      <c r="B42" s="322"/>
    </row>
    <row r="46" spans="1:7">
      <c r="E46" s="322"/>
    </row>
    <row r="1661" spans="16:16">
      <c r="P1661" s="5" t="s">
        <v>43</v>
      </c>
    </row>
  </sheetData>
  <sheetProtection selectLockedCells="1" selectUnlockedCells="1"/>
  <mergeCells count="1">
    <mergeCell ref="B36:D36"/>
  </mergeCells>
  <pageMargins left="0.75" right="0.75" top="0.7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tabSelected="1" zoomScale="89" zoomScaleNormal="89" workbookViewId="0">
      <selection activeCell="D15" sqref="D15"/>
    </sheetView>
  </sheetViews>
  <sheetFormatPr baseColWidth="10" defaultColWidth="11.42578125" defaultRowHeight="12.75"/>
  <cols>
    <col min="1" max="1" width="8" style="162" customWidth="1"/>
    <col min="2" max="2" width="17" style="162" customWidth="1"/>
    <col min="3" max="3" width="16.85546875" style="162" customWidth="1"/>
    <col min="4" max="4" width="17.42578125" style="162" customWidth="1"/>
    <col min="5" max="5" width="16.42578125" style="162" customWidth="1"/>
    <col min="6" max="6" width="16.85546875" style="162" customWidth="1"/>
    <col min="7" max="7" width="17.7109375" style="162" customWidth="1"/>
    <col min="8" max="8" width="19.7109375" style="162" customWidth="1"/>
    <col min="9" max="9" width="14.85546875" style="162" customWidth="1"/>
    <col min="10" max="10" width="17.28515625" style="162" customWidth="1"/>
    <col min="11" max="11" width="17.140625" style="162" customWidth="1"/>
    <col min="12" max="12" width="17.5703125" style="162" customWidth="1"/>
    <col min="13" max="13" width="17.28515625" style="162" customWidth="1"/>
    <col min="14" max="14" width="18.5703125" style="162" customWidth="1"/>
    <col min="15" max="15" width="17.42578125" style="162" customWidth="1"/>
    <col min="16" max="16384" width="11.42578125" style="162"/>
  </cols>
  <sheetData>
    <row r="1" spans="1:14">
      <c r="A1" s="1" t="s">
        <v>0</v>
      </c>
      <c r="B1"/>
      <c r="C1"/>
      <c r="D1"/>
      <c r="G1" s="2">
        <f>InfoInicial!E1</f>
        <v>0</v>
      </c>
    </row>
    <row r="3" spans="1:14" ht="15.75">
      <c r="A3" s="163" t="s">
        <v>371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5"/>
    </row>
    <row r="4" spans="1:14" ht="25.5">
      <c r="A4" s="183" t="s">
        <v>232</v>
      </c>
      <c r="B4" s="184" t="s">
        <v>331</v>
      </c>
      <c r="C4" s="184" t="s">
        <v>372</v>
      </c>
      <c r="D4" s="184" t="s">
        <v>235</v>
      </c>
      <c r="E4" s="184" t="s">
        <v>3</v>
      </c>
      <c r="F4" s="184" t="s">
        <v>236</v>
      </c>
      <c r="G4" s="184" t="s">
        <v>237</v>
      </c>
      <c r="H4" s="184" t="s">
        <v>373</v>
      </c>
      <c r="I4" s="184" t="s">
        <v>374</v>
      </c>
      <c r="J4" s="184" t="s">
        <v>97</v>
      </c>
      <c r="K4" s="184" t="s">
        <v>239</v>
      </c>
      <c r="L4" s="184" t="s">
        <v>240</v>
      </c>
      <c r="M4" s="209" t="s">
        <v>241</v>
      </c>
      <c r="N4" s="210" t="s">
        <v>242</v>
      </c>
    </row>
    <row r="5" spans="1:14" ht="13.5" thickTop="1">
      <c r="A5" s="211">
        <v>0</v>
      </c>
      <c r="B5" s="129">
        <f>'F- CFyU'!B14</f>
        <v>24408883.1446</v>
      </c>
      <c r="C5" s="57">
        <f>'F- CFyU'!B15</f>
        <v>2037008.3613733919</v>
      </c>
      <c r="D5" s="57">
        <f>'F- CFyU'!B21</f>
        <v>5440741.2162544122</v>
      </c>
      <c r="E5" s="57">
        <v>0</v>
      </c>
      <c r="F5" s="57">
        <f>'F- CFyU'!B17</f>
        <v>0</v>
      </c>
      <c r="G5" s="57">
        <f>SUM(B5:F5)</f>
        <v>31886632.722227804</v>
      </c>
      <c r="H5" s="57">
        <v>0</v>
      </c>
      <c r="I5" s="57">
        <f>'F-Cred'!D21+'F-Cred'!I21</f>
        <v>435708</v>
      </c>
      <c r="J5" s="57">
        <v>0</v>
      </c>
      <c r="K5" s="57">
        <f>'F- CFyU'!B11</f>
        <v>0</v>
      </c>
      <c r="L5" s="57">
        <f>SUM(H5:K5)</f>
        <v>435708</v>
      </c>
      <c r="M5" s="130">
        <f>L5-G5</f>
        <v>-31450924.722227804</v>
      </c>
      <c r="N5" s="58">
        <f>M5</f>
        <v>-31450924.722227804</v>
      </c>
    </row>
    <row r="6" spans="1:14">
      <c r="A6" s="212">
        <v>1</v>
      </c>
      <c r="B6" s="120">
        <f>'F- CFyU'!C14</f>
        <v>0</v>
      </c>
      <c r="C6" s="59">
        <f>'F- CFyU'!C15</f>
        <v>10619044.713706356</v>
      </c>
      <c r="D6" s="59">
        <f>'F- CFyU'!C21</f>
        <v>1621830.1843988826</v>
      </c>
      <c r="E6" s="59">
        <f>'F- CFyU'!C19</f>
        <v>381782.87368913868</v>
      </c>
      <c r="F6" s="59">
        <f>'F- CFyU'!C17</f>
        <v>3876953.0068320869</v>
      </c>
      <c r="G6" s="57">
        <f t="shared" ref="G6:G10" si="0">SUM(B6:F6)</f>
        <v>16499610.778626464</v>
      </c>
      <c r="H6" s="59">
        <f>'F-CRes'!B11</f>
        <v>11458791.464637959</v>
      </c>
      <c r="I6" s="59">
        <f>'F-Cred'!G24</f>
        <v>831596.32499999995</v>
      </c>
      <c r="J6" s="59">
        <f>'F- CFyU'!C25</f>
        <v>1285927.1795333335</v>
      </c>
      <c r="K6" s="59">
        <f>'F- CFyU'!C11</f>
        <v>3932238.4781956715</v>
      </c>
      <c r="L6" s="57">
        <f t="shared" ref="L6:L10" si="1">SUM(H6:K6)</f>
        <v>17508553.447366964</v>
      </c>
      <c r="M6" s="130">
        <f t="shared" ref="M6:M10" si="2">L6-G6</f>
        <v>1008942.6687404998</v>
      </c>
      <c r="N6" s="60">
        <f>N5+M6</f>
        <v>-30441982.053487305</v>
      </c>
    </row>
    <row r="7" spans="1:14">
      <c r="A7" s="212">
        <v>2</v>
      </c>
      <c r="B7" s="120"/>
      <c r="C7" s="57">
        <f>'F- CFyU'!D15</f>
        <v>-330464.79935384728</v>
      </c>
      <c r="D7" s="59">
        <f>'F- CFyU'!D21</f>
        <v>-69397.607864307676</v>
      </c>
      <c r="E7" s="59">
        <f>'F- CFyU'!D19</f>
        <v>463894.85380345187</v>
      </c>
      <c r="F7" s="59">
        <f>'F- CFyU'!D17</f>
        <v>4997916.5622090641</v>
      </c>
      <c r="G7" s="57">
        <f t="shared" si="0"/>
        <v>5061949.0087943608</v>
      </c>
      <c r="H7" s="59">
        <f>'F-CRes'!C11</f>
        <v>14743656.460115066</v>
      </c>
      <c r="I7" s="59">
        <f>'F-Cred'!G26</f>
        <v>719505.33333333337</v>
      </c>
      <c r="J7" s="59">
        <f>'F- CFyU'!D25</f>
        <v>850219.1795333334</v>
      </c>
      <c r="K7" s="59">
        <f>'F- CFyU'!D11</f>
        <v>3060935.3145933161</v>
      </c>
      <c r="L7" s="57">
        <f t="shared" si="1"/>
        <v>19374316.287575047</v>
      </c>
      <c r="M7" s="130">
        <f t="shared" si="2"/>
        <v>14312367.278780688</v>
      </c>
      <c r="N7" s="60">
        <f>N6+M7</f>
        <v>-16129614.774706617</v>
      </c>
    </row>
    <row r="8" spans="1:14">
      <c r="A8" s="212">
        <v>3</v>
      </c>
      <c r="B8" s="120"/>
      <c r="C8" s="59">
        <f>'F- CFyU'!E15</f>
        <v>0</v>
      </c>
      <c r="D8" s="59">
        <f>'F- CFyU'!E21</f>
        <v>0</v>
      </c>
      <c r="E8" s="59">
        <f>'F- CFyU'!E19</f>
        <v>463894.85380345187</v>
      </c>
      <c r="F8" s="59">
        <f>'F- CFyU'!E17</f>
        <v>5049531.2022090647</v>
      </c>
      <c r="G8" s="57">
        <f t="shared" si="0"/>
        <v>5513426.0560125168</v>
      </c>
      <c r="H8" s="59">
        <f>'F-CRes'!D11</f>
        <v>14891126.860115066</v>
      </c>
      <c r="I8" s="59">
        <f>'F-Cred'!G28</f>
        <v>572034.93333333335</v>
      </c>
      <c r="J8" s="59">
        <f>'F- CFyU'!E25</f>
        <v>850219.1795333334</v>
      </c>
      <c r="K8" s="59">
        <f>'F- CFyU'!E11</f>
        <v>0</v>
      </c>
      <c r="L8" s="57">
        <f t="shared" si="1"/>
        <v>16313380.972981732</v>
      </c>
      <c r="M8" s="130">
        <f t="shared" si="2"/>
        <v>10799954.916969215</v>
      </c>
      <c r="N8" s="60">
        <f>N7+M8</f>
        <v>-5329659.8577374015</v>
      </c>
    </row>
    <row r="9" spans="1:14">
      <c r="A9" s="212">
        <v>4</v>
      </c>
      <c r="B9" s="120"/>
      <c r="C9" s="57">
        <f>'F- CFyU'!F15</f>
        <v>-146.88423918932676</v>
      </c>
      <c r="D9" s="59">
        <f>'F- CFyU'!F21</f>
        <v>-30.845690230113103</v>
      </c>
      <c r="E9" s="59">
        <f>'F- CFyU'!F19</f>
        <v>464348.11196134315</v>
      </c>
      <c r="F9" s="59">
        <f>'F- CFyU'!F17</f>
        <v>5106275.2136958679</v>
      </c>
      <c r="G9" s="57">
        <f t="shared" si="0"/>
        <v>5570445.595727792</v>
      </c>
      <c r="H9" s="59">
        <f>'F-CRes'!E11</f>
        <v>15053705.86537811</v>
      </c>
      <c r="I9" s="59">
        <f>'F-Cred'!G30</f>
        <v>424564.53333333333</v>
      </c>
      <c r="J9" s="59">
        <f>'F- CFyU'!F25</f>
        <v>835722.40300000005</v>
      </c>
      <c r="K9" s="59">
        <f>'F- CFyU'!F11</f>
        <v>-30.845690230113103</v>
      </c>
      <c r="L9" s="57">
        <f t="shared" si="1"/>
        <v>16313961.956021214</v>
      </c>
      <c r="M9" s="130">
        <f t="shared" si="2"/>
        <v>10743516.360293422</v>
      </c>
      <c r="N9" s="60">
        <f>N8+M9</f>
        <v>5413856.5025560204</v>
      </c>
    </row>
    <row r="10" spans="1:14">
      <c r="A10" s="212">
        <v>5</v>
      </c>
      <c r="B10" s="120">
        <f>-'E-Inv AF y Am'!G56</f>
        <v>-19751072.800000001</v>
      </c>
      <c r="C10" s="59">
        <f>-'F- CFyU'!H15</f>
        <v>-12325441.39148671</v>
      </c>
      <c r="D10" s="59">
        <f>'F- CFyU'!G21</f>
        <v>0</v>
      </c>
      <c r="E10" s="59">
        <f>'F- CFyU'!G19</f>
        <v>464348.11196134315</v>
      </c>
      <c r="F10" s="59">
        <f>'F- CFyU'!G17</f>
        <v>5157889.8536958685</v>
      </c>
      <c r="G10" s="57">
        <f t="shared" si="0"/>
        <v>-26454276.225829497</v>
      </c>
      <c r="H10" s="59">
        <f>'F-CRes'!F11</f>
        <v>15201176.26537811</v>
      </c>
      <c r="I10" s="59">
        <f>'F-Cred'!G32</f>
        <v>277094.1333333333</v>
      </c>
      <c r="J10" s="59">
        <f>'F- CFyU'!G25</f>
        <v>835722.40300000005</v>
      </c>
      <c r="K10" s="59">
        <f>'F- CFyU'!G11</f>
        <v>0</v>
      </c>
      <c r="L10" s="57">
        <f t="shared" si="1"/>
        <v>16313992.801711444</v>
      </c>
      <c r="M10" s="130">
        <f t="shared" si="2"/>
        <v>42768269.027540937</v>
      </c>
      <c r="N10" s="60">
        <f>N9+M10</f>
        <v>48182125.530096956</v>
      </c>
    </row>
    <row r="11" spans="1:14">
      <c r="A11" s="212"/>
      <c r="B11" s="122"/>
      <c r="C11" s="80"/>
      <c r="D11" s="80"/>
      <c r="E11" s="80"/>
      <c r="F11" s="80"/>
      <c r="G11" s="57"/>
      <c r="H11" s="80"/>
      <c r="I11" s="80"/>
      <c r="J11" s="80"/>
      <c r="K11" s="80"/>
      <c r="L11" s="80"/>
      <c r="M11" s="110"/>
      <c r="N11" s="81"/>
    </row>
    <row r="12" spans="1:14" ht="13.5" thickBot="1">
      <c r="A12" s="213" t="s">
        <v>243</v>
      </c>
      <c r="B12" s="125">
        <f t="shared" ref="B12:N12" si="3">SUM(B5:B10)</f>
        <v>4657810.3445999995</v>
      </c>
      <c r="C12" s="125">
        <f t="shared" si="3"/>
        <v>0</v>
      </c>
      <c r="D12" s="125">
        <f t="shared" si="3"/>
        <v>6993142.9470987581</v>
      </c>
      <c r="E12" s="125">
        <f t="shared" si="3"/>
        <v>2238268.8052187287</v>
      </c>
      <c r="F12" s="125">
        <f t="shared" si="3"/>
        <v>24188565.838641953</v>
      </c>
      <c r="G12" s="57">
        <f t="shared" si="3"/>
        <v>38077787.935559444</v>
      </c>
      <c r="H12" s="57">
        <f t="shared" si="3"/>
        <v>71348456.915624321</v>
      </c>
      <c r="I12" s="57">
        <f t="shared" si="3"/>
        <v>3260503.2583333333</v>
      </c>
      <c r="J12" s="64">
        <f t="shared" si="3"/>
        <v>4657810.3446000004</v>
      </c>
      <c r="K12" s="64">
        <f t="shared" si="3"/>
        <v>6993142.9470987581</v>
      </c>
      <c r="L12" s="64">
        <f t="shared" si="3"/>
        <v>86259913.4656564</v>
      </c>
      <c r="M12" s="111">
        <f t="shared" si="3"/>
        <v>48182125.530096956</v>
      </c>
      <c r="N12" s="65">
        <f t="shared" si="3"/>
        <v>-29756199.375506155</v>
      </c>
    </row>
    <row r="13" spans="1:14" ht="13.5" thickTop="1"/>
    <row r="14" spans="1:14">
      <c r="C14" s="214" t="s">
        <v>244</v>
      </c>
      <c r="D14" s="134">
        <f>H12+I12-E12-F12</f>
        <v>48182125.530096978</v>
      </c>
    </row>
    <row r="15" spans="1:14">
      <c r="A15" s="170"/>
      <c r="C15" s="214" t="s">
        <v>245</v>
      </c>
      <c r="D15" s="428">
        <f>2+ABS(N7/M8)</f>
        <v>3.4934890838630519</v>
      </c>
      <c r="E15" s="162" t="s">
        <v>246</v>
      </c>
    </row>
    <row r="16" spans="1:14">
      <c r="C16" s="214" t="s">
        <v>375</v>
      </c>
      <c r="D16" s="135">
        <f>IRR(M5:M10)</f>
        <v>0.2762796463285529</v>
      </c>
      <c r="K16" s="429"/>
    </row>
    <row r="17" spans="1:15">
      <c r="A17" s="215"/>
      <c r="B17" s="216"/>
      <c r="C17" s="216"/>
      <c r="D17" s="216"/>
      <c r="E17" s="217"/>
      <c r="F17" s="218"/>
      <c r="G17" s="218"/>
      <c r="H17" s="218"/>
      <c r="I17" s="218"/>
      <c r="J17" s="216"/>
      <c r="K17" s="218"/>
      <c r="L17" s="218"/>
      <c r="M17" s="218"/>
      <c r="N17" s="218"/>
      <c r="O17" s="216"/>
    </row>
    <row r="18" spans="1:15" ht="15.75">
      <c r="A18" s="219"/>
      <c r="B18" s="218"/>
      <c r="C18" s="220"/>
      <c r="D18" s="218"/>
      <c r="E18" s="221"/>
      <c r="F18" s="218"/>
      <c r="G18" s="218"/>
      <c r="H18" s="218"/>
      <c r="I18" s="218"/>
      <c r="J18" s="218"/>
      <c r="K18" s="218"/>
      <c r="L18" s="218"/>
      <c r="M18" s="218"/>
      <c r="N18" s="218"/>
    </row>
    <row r="20" spans="1:15">
      <c r="A20" s="222"/>
    </row>
    <row r="21" spans="1:15" ht="15.75">
      <c r="A21" s="163" t="s">
        <v>376</v>
      </c>
      <c r="B21" s="164"/>
      <c r="C21" s="164"/>
      <c r="D21" s="164"/>
      <c r="E21" s="164"/>
      <c r="F21" s="164"/>
      <c r="G21" s="164"/>
      <c r="H21" s="165"/>
    </row>
    <row r="22" spans="1:15" ht="25.5">
      <c r="A22" s="183" t="s">
        <v>232</v>
      </c>
      <c r="B22" s="184" t="s">
        <v>377</v>
      </c>
      <c r="C22" s="184" t="s">
        <v>237</v>
      </c>
      <c r="D22" s="184" t="s">
        <v>336</v>
      </c>
      <c r="E22" s="184" t="s">
        <v>378</v>
      </c>
      <c r="F22" s="184" t="s">
        <v>240</v>
      </c>
      <c r="G22" s="209" t="s">
        <v>241</v>
      </c>
      <c r="H22" s="210" t="s">
        <v>242</v>
      </c>
    </row>
    <row r="23" spans="1:15" ht="13.5" thickTop="1">
      <c r="A23" s="211">
        <v>0</v>
      </c>
      <c r="B23" s="129">
        <f>'F- CFyU'!B7</f>
        <v>28535032.722227804</v>
      </c>
      <c r="C23" s="57">
        <f>B23</f>
        <v>28535032.722227804</v>
      </c>
      <c r="D23" s="57">
        <v>0</v>
      </c>
      <c r="E23" s="57">
        <f>'F- CFyU'!B28</f>
        <v>0</v>
      </c>
      <c r="F23" s="57">
        <f>SUM(D23:E23)</f>
        <v>0</v>
      </c>
      <c r="G23" s="130">
        <f>F23-C23</f>
        <v>-28535032.722227804</v>
      </c>
      <c r="H23" s="58">
        <f>G23</f>
        <v>-28535032.722227804</v>
      </c>
    </row>
    <row r="24" spans="1:15">
      <c r="A24" s="212">
        <v>1</v>
      </c>
      <c r="B24" s="120">
        <f>'F- CFyU'!C7</f>
        <v>13445426.592811964</v>
      </c>
      <c r="C24" s="59">
        <f>B24</f>
        <v>13445426.592811964</v>
      </c>
      <c r="D24" s="59">
        <v>0</v>
      </c>
      <c r="E24" s="59">
        <f>'F- CFyU'!C28</f>
        <v>13784909.603219137</v>
      </c>
      <c r="F24" s="57">
        <f t="shared" ref="F24:F28" si="4">SUM(D24:E24)</f>
        <v>13784909.603219137</v>
      </c>
      <c r="G24" s="130">
        <f t="shared" ref="G24:G28" si="5">F24-C24</f>
        <v>339483.01040717214</v>
      </c>
      <c r="H24" s="60">
        <f>H23+G24</f>
        <v>-28195549.711820632</v>
      </c>
    </row>
    <row r="25" spans="1:15">
      <c r="A25" s="212">
        <v>2</v>
      </c>
      <c r="B25" s="120">
        <v>0</v>
      </c>
      <c r="C25" s="57">
        <f t="shared" ref="C25:C28" si="6">B25</f>
        <v>0</v>
      </c>
      <c r="D25" s="59">
        <v>0</v>
      </c>
      <c r="E25" s="59">
        <f>'F- CFyU'!D28</f>
        <v>12922541.945447356</v>
      </c>
      <c r="F25" s="57">
        <f t="shared" si="4"/>
        <v>12922541.945447356</v>
      </c>
      <c r="G25" s="130">
        <f t="shared" si="5"/>
        <v>12922541.945447356</v>
      </c>
      <c r="H25" s="60">
        <f>H24+G25</f>
        <v>-15273007.766373277</v>
      </c>
    </row>
    <row r="26" spans="1:15">
      <c r="A26" s="212">
        <v>3</v>
      </c>
      <c r="B26" s="427">
        <v>0</v>
      </c>
      <c r="C26" s="59">
        <f t="shared" si="6"/>
        <v>0</v>
      </c>
      <c r="D26" s="59">
        <v>0</v>
      </c>
      <c r="E26" s="59">
        <f>'F- CFyU'!E28</f>
        <v>9557599.9836358726</v>
      </c>
      <c r="F26" s="57">
        <f t="shared" si="4"/>
        <v>9557599.9836358726</v>
      </c>
      <c r="G26" s="130">
        <f t="shared" si="5"/>
        <v>9557599.9836358726</v>
      </c>
      <c r="H26" s="58">
        <f>H25+G26</f>
        <v>-5715407.7827374041</v>
      </c>
    </row>
    <row r="27" spans="1:15">
      <c r="A27" s="212">
        <v>4</v>
      </c>
      <c r="B27" s="120">
        <v>0</v>
      </c>
      <c r="C27" s="57">
        <f t="shared" si="6"/>
        <v>0</v>
      </c>
      <c r="D27" s="59">
        <v>0</v>
      </c>
      <c r="E27" s="59">
        <f>'F- CFyU'!F28</f>
        <v>10318951.826960072</v>
      </c>
      <c r="F27" s="57">
        <f t="shared" si="4"/>
        <v>10318951.826960072</v>
      </c>
      <c r="G27" s="130">
        <f t="shared" si="5"/>
        <v>10318951.826960072</v>
      </c>
      <c r="H27" s="60">
        <f>H26+G27</f>
        <v>4603544.0442226678</v>
      </c>
    </row>
    <row r="28" spans="1:15">
      <c r="A28" s="212">
        <v>5</v>
      </c>
      <c r="B28" s="120">
        <f>B10+C10-'F- CFyU'!H8</f>
        <v>-32908970.858153377</v>
      </c>
      <c r="C28" s="59">
        <f t="shared" si="6"/>
        <v>-32908970.858153377</v>
      </c>
      <c r="D28" s="59">
        <v>0</v>
      </c>
      <c r="E28" s="59">
        <f>'F- CFyU'!G28</f>
        <v>10414660.702720895</v>
      </c>
      <c r="F28" s="57">
        <f t="shared" si="4"/>
        <v>10414660.702720895</v>
      </c>
      <c r="G28" s="130">
        <f t="shared" si="5"/>
        <v>43323631.560874268</v>
      </c>
      <c r="H28" s="60">
        <f>H27+G28</f>
        <v>47927175.605096936</v>
      </c>
    </row>
    <row r="29" spans="1:15">
      <c r="A29" s="212"/>
      <c r="B29" s="122"/>
      <c r="C29" s="80"/>
      <c r="D29" s="80"/>
      <c r="E29" s="80"/>
      <c r="F29" s="80"/>
      <c r="G29" s="110"/>
      <c r="H29" s="81"/>
    </row>
    <row r="30" spans="1:15">
      <c r="A30" s="213" t="s">
        <v>243</v>
      </c>
      <c r="B30" s="125">
        <f>SUM(B23:B28)</f>
        <v>9071488.4568863921</v>
      </c>
      <c r="C30" s="125">
        <f>SUM(C23:C28)</f>
        <v>9071488.4568863921</v>
      </c>
      <c r="D30" s="125">
        <f>SUM(D23:D28)</f>
        <v>0</v>
      </c>
      <c r="E30" s="125">
        <f>SUM(E23:E28)</f>
        <v>56998664.061983332</v>
      </c>
      <c r="F30" s="125">
        <f>SUM(F23:F28)</f>
        <v>56998664.061983332</v>
      </c>
      <c r="G30" s="125">
        <f t="shared" ref="G30" si="7">SUM(G23:G28)</f>
        <v>47927175.605096936</v>
      </c>
      <c r="H30" s="125"/>
    </row>
    <row r="33" spans="3:5">
      <c r="C33" s="214" t="s">
        <v>244</v>
      </c>
      <c r="D33" s="134">
        <f>G30</f>
        <v>47927175.605096936</v>
      </c>
      <c r="E33" s="162" t="s">
        <v>379</v>
      </c>
    </row>
    <row r="34" spans="3:5">
      <c r="C34" s="214" t="s">
        <v>245</v>
      </c>
      <c r="D34" s="428">
        <f>3+ABS(H26/G27)</f>
        <v>3.5538748390902359</v>
      </c>
      <c r="E34" s="162" t="s">
        <v>380</v>
      </c>
    </row>
    <row r="35" spans="3:5">
      <c r="C35" s="214" t="s">
        <v>381</v>
      </c>
      <c r="D35" s="135">
        <f>IRR(G23:G28)</f>
        <v>0.28754527767794003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B2:R39"/>
  <sheetViews>
    <sheetView showGridLines="0" topLeftCell="D1" workbookViewId="0">
      <selection activeCell="Q39" sqref="Q39"/>
    </sheetView>
  </sheetViews>
  <sheetFormatPr baseColWidth="10" defaultColWidth="9.140625" defaultRowHeight="12.75"/>
  <cols>
    <col min="1" max="15" width="11.42578125" customWidth="1"/>
    <col min="16" max="16" width="13.85546875" bestFit="1" customWidth="1"/>
    <col min="17" max="17" width="13.42578125" bestFit="1" customWidth="1"/>
    <col min="18" max="18" width="14" bestFit="1" customWidth="1"/>
    <col min="19" max="256" width="11.42578125" customWidth="1"/>
  </cols>
  <sheetData>
    <row r="2" spans="2:18">
      <c r="B2" s="225" t="s">
        <v>382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</row>
    <row r="3" spans="2:18">
      <c r="B3" s="225"/>
      <c r="C3" s="225"/>
      <c r="D3" s="225"/>
      <c r="E3" s="225"/>
      <c r="F3" s="225"/>
      <c r="G3" s="225"/>
      <c r="H3" s="225"/>
      <c r="I3" s="225" t="s">
        <v>49</v>
      </c>
      <c r="J3" s="225"/>
      <c r="K3" s="225"/>
      <c r="L3" s="225"/>
      <c r="M3" s="225"/>
      <c r="N3" s="225"/>
      <c r="O3" s="225"/>
      <c r="P3" s="225"/>
    </row>
    <row r="4" spans="2:18">
      <c r="B4" s="225"/>
      <c r="C4" s="225"/>
      <c r="D4" s="225"/>
      <c r="E4" s="225"/>
      <c r="F4" s="225"/>
      <c r="G4" s="225"/>
      <c r="H4" s="225"/>
      <c r="I4" s="225"/>
      <c r="J4" s="225"/>
      <c r="K4" s="498" t="s">
        <v>383</v>
      </c>
      <c r="L4" s="498"/>
      <c r="M4" s="498"/>
      <c r="N4" s="498"/>
      <c r="O4" s="225"/>
      <c r="P4" s="225"/>
    </row>
    <row r="5" spans="2:18">
      <c r="B5" s="225"/>
      <c r="C5" s="225"/>
      <c r="D5" s="225" t="s">
        <v>384</v>
      </c>
      <c r="E5" s="225"/>
      <c r="F5" s="225"/>
      <c r="G5" s="225"/>
      <c r="H5" s="225"/>
      <c r="I5" s="225"/>
      <c r="J5" s="225"/>
      <c r="K5" s="225">
        <v>1</v>
      </c>
      <c r="L5" s="225">
        <v>2</v>
      </c>
      <c r="M5" s="225">
        <v>3</v>
      </c>
      <c r="N5" s="225" t="s">
        <v>385</v>
      </c>
      <c r="O5" s="225" t="s">
        <v>386</v>
      </c>
      <c r="P5" s="225" t="s">
        <v>153</v>
      </c>
      <c r="Q5" s="225" t="s">
        <v>387</v>
      </c>
    </row>
    <row r="6" spans="2:18">
      <c r="B6" s="225"/>
      <c r="C6" s="225"/>
      <c r="D6" s="226" t="s">
        <v>388</v>
      </c>
      <c r="E6" s="226">
        <v>5.6000000000000001E-2</v>
      </c>
      <c r="F6" s="225" t="s">
        <v>389</v>
      </c>
      <c r="G6" s="225"/>
      <c r="H6" s="225"/>
      <c r="I6" s="225"/>
      <c r="J6" s="226" t="s">
        <v>388</v>
      </c>
      <c r="K6" s="225">
        <v>19.478260869565219</v>
      </c>
      <c r="L6" s="225">
        <v>58.434782608695656</v>
      </c>
      <c r="M6" s="225">
        <v>97.391304347826079</v>
      </c>
      <c r="N6" s="225">
        <v>116.86956521739131</v>
      </c>
      <c r="O6" s="225">
        <v>175.30434782608694</v>
      </c>
      <c r="P6" s="225">
        <f>K6+L6+M6+N6*9</f>
        <v>1227.1304347826087</v>
      </c>
      <c r="Q6" s="225">
        <v>2000</v>
      </c>
      <c r="R6">
        <f>P6*Q6</f>
        <v>2454260.8695652173</v>
      </c>
    </row>
    <row r="7" spans="2:18">
      <c r="B7" s="225"/>
      <c r="C7" s="225"/>
      <c r="D7" s="226" t="s">
        <v>390</v>
      </c>
      <c r="E7" s="226">
        <v>5</v>
      </c>
      <c r="F7" s="225" t="s">
        <v>391</v>
      </c>
      <c r="G7" s="225"/>
      <c r="H7" s="225"/>
      <c r="I7" s="225"/>
      <c r="J7" s="226" t="s">
        <v>390</v>
      </c>
      <c r="K7" s="225">
        <v>1739.1304347826087</v>
      </c>
      <c r="L7" s="225">
        <v>5217.391304347826</v>
      </c>
      <c r="M7" s="225">
        <v>8695.6521739130421</v>
      </c>
      <c r="N7" s="225">
        <v>10434.782608695652</v>
      </c>
      <c r="O7" s="225">
        <v>15652.173913043476</v>
      </c>
      <c r="P7" s="225">
        <f t="shared" ref="P7:P16" si="0">K7+L7+M7+N7*9</f>
        <v>109565.21739130434</v>
      </c>
      <c r="Q7" s="225">
        <v>14</v>
      </c>
      <c r="R7">
        <f t="shared" ref="R7:R18" si="1">P7*Q7</f>
        <v>1533913.0434782607</v>
      </c>
    </row>
    <row r="8" spans="2:18">
      <c r="B8" s="225"/>
      <c r="C8" s="225"/>
      <c r="D8" s="226" t="s">
        <v>392</v>
      </c>
      <c r="E8" s="226">
        <v>50</v>
      </c>
      <c r="F8" s="225" t="s">
        <v>393</v>
      </c>
      <c r="G8" s="225"/>
      <c r="H8" s="225"/>
      <c r="I8" s="225"/>
      <c r="J8" s="226" t="s">
        <v>392</v>
      </c>
      <c r="K8" s="225">
        <v>17391.304347826088</v>
      </c>
      <c r="L8" s="225">
        <v>52173.913043478264</v>
      </c>
      <c r="M8" s="225">
        <v>86956.521739130432</v>
      </c>
      <c r="N8" s="225">
        <v>104347.82608695653</v>
      </c>
      <c r="O8" s="225">
        <v>156521.73913043478</v>
      </c>
      <c r="P8" s="225">
        <f t="shared" si="0"/>
        <v>1095652.1739130435</v>
      </c>
      <c r="Q8">
        <f>170/(24*50)</f>
        <v>0.14166666666666666</v>
      </c>
      <c r="R8">
        <f t="shared" si="1"/>
        <v>155217.39130434781</v>
      </c>
    </row>
    <row r="9" spans="2:18">
      <c r="B9" s="225"/>
      <c r="C9" s="225"/>
      <c r="D9" s="226" t="s">
        <v>394</v>
      </c>
      <c r="E9" s="226">
        <v>1</v>
      </c>
      <c r="F9" s="225"/>
      <c r="G9" s="225"/>
      <c r="H9" s="225"/>
      <c r="I9" s="225"/>
      <c r="J9" s="226" t="s">
        <v>394</v>
      </c>
      <c r="K9" s="225">
        <v>347.82608695652175</v>
      </c>
      <c r="L9" s="225">
        <v>1043.4782608695652</v>
      </c>
      <c r="M9" s="225">
        <v>1739.1304347826085</v>
      </c>
      <c r="N9" s="225">
        <v>2086.9565217391305</v>
      </c>
      <c r="O9" s="225">
        <v>3130.4347826086955</v>
      </c>
      <c r="P9" s="225">
        <f t="shared" si="0"/>
        <v>21913.043478260872</v>
      </c>
      <c r="Q9" s="225">
        <v>120</v>
      </c>
      <c r="R9">
        <f t="shared" si="1"/>
        <v>2629565.2173913047</v>
      </c>
    </row>
    <row r="10" spans="2:18">
      <c r="B10" s="225"/>
      <c r="C10" s="225"/>
      <c r="D10" s="226" t="s">
        <v>395</v>
      </c>
      <c r="E10" s="226">
        <v>1</v>
      </c>
      <c r="F10" s="225"/>
      <c r="G10" s="225"/>
      <c r="H10" s="225"/>
      <c r="I10" s="225"/>
      <c r="J10" s="226" t="s">
        <v>395</v>
      </c>
      <c r="K10" s="225">
        <v>347.82608695652175</v>
      </c>
      <c r="L10" s="225">
        <v>1043.4782608695652</v>
      </c>
      <c r="M10" s="225">
        <v>1739.1304347826085</v>
      </c>
      <c r="N10" s="225">
        <v>2086.9565217391305</v>
      </c>
      <c r="O10" s="225">
        <v>3130.4347826086955</v>
      </c>
      <c r="P10" s="225">
        <f t="shared" si="0"/>
        <v>21913.043478260872</v>
      </c>
      <c r="Q10" s="225">
        <v>0</v>
      </c>
      <c r="R10">
        <f t="shared" si="1"/>
        <v>0</v>
      </c>
    </row>
    <row r="11" spans="2:18">
      <c r="B11" s="225"/>
      <c r="C11" s="225"/>
      <c r="D11" s="226" t="s">
        <v>396</v>
      </c>
      <c r="E11" s="226">
        <v>1</v>
      </c>
      <c r="F11" s="225"/>
      <c r="G11" s="225"/>
      <c r="H11" s="225"/>
      <c r="I11" s="225"/>
      <c r="J11" s="226" t="s">
        <v>396</v>
      </c>
      <c r="K11" s="225">
        <v>347.82608695652175</v>
      </c>
      <c r="L11" s="225">
        <v>1043.4782608695652</v>
      </c>
      <c r="M11" s="225">
        <v>1739.1304347826085</v>
      </c>
      <c r="N11" s="225">
        <v>2086.9565217391305</v>
      </c>
      <c r="O11" s="225">
        <v>3130.4347826086955</v>
      </c>
      <c r="P11" s="225">
        <f t="shared" si="0"/>
        <v>21913.043478260872</v>
      </c>
      <c r="Q11" s="225">
        <v>50</v>
      </c>
      <c r="R11">
        <f t="shared" si="1"/>
        <v>1095652.1739130437</v>
      </c>
    </row>
    <row r="12" spans="2:18">
      <c r="B12" s="225"/>
      <c r="C12" s="225"/>
      <c r="D12" s="226" t="s">
        <v>397</v>
      </c>
      <c r="E12" s="226">
        <v>1</v>
      </c>
      <c r="F12" s="225"/>
      <c r="G12" s="225"/>
      <c r="H12" s="225"/>
      <c r="I12" s="225"/>
      <c r="J12" s="226" t="s">
        <v>397</v>
      </c>
      <c r="K12" s="225">
        <v>347.82608695652175</v>
      </c>
      <c r="L12" s="225">
        <v>1043.4782608695652</v>
      </c>
      <c r="M12" s="225">
        <v>1739.1304347826085</v>
      </c>
      <c r="N12" s="225">
        <v>2086.9565217391305</v>
      </c>
      <c r="O12" s="225">
        <v>3130.4347826086955</v>
      </c>
      <c r="P12" s="225">
        <f t="shared" si="0"/>
        <v>21913.043478260872</v>
      </c>
      <c r="Q12" s="225">
        <v>5</v>
      </c>
      <c r="R12">
        <f t="shared" si="1"/>
        <v>109565.21739130435</v>
      </c>
    </row>
    <row r="13" spans="2:18">
      <c r="B13" s="225"/>
      <c r="C13" s="225"/>
      <c r="D13" s="226" t="s">
        <v>398</v>
      </c>
      <c r="E13" s="226">
        <v>1</v>
      </c>
      <c r="F13" s="225"/>
      <c r="G13" s="225"/>
      <c r="H13" s="225"/>
      <c r="I13" s="225"/>
      <c r="J13" s="226" t="s">
        <v>398</v>
      </c>
      <c r="K13" s="225">
        <v>347.82608695652175</v>
      </c>
      <c r="L13" s="225">
        <v>1043.4782608695652</v>
      </c>
      <c r="M13" s="225">
        <v>1739.1304347826085</v>
      </c>
      <c r="N13" s="225">
        <v>2086.9565217391305</v>
      </c>
      <c r="O13" s="225">
        <v>3130.4347826086955</v>
      </c>
      <c r="P13" s="225">
        <f t="shared" si="0"/>
        <v>21913.043478260872</v>
      </c>
      <c r="Q13" s="225">
        <v>20</v>
      </c>
      <c r="R13">
        <f t="shared" si="1"/>
        <v>438260.86956521741</v>
      </c>
    </row>
    <row r="14" spans="2:18">
      <c r="B14" s="225"/>
      <c r="C14" s="225"/>
      <c r="D14" s="226" t="s">
        <v>399</v>
      </c>
      <c r="E14" s="226">
        <v>1</v>
      </c>
      <c r="F14" s="225"/>
      <c r="G14" s="225"/>
      <c r="H14" s="225"/>
      <c r="I14" s="225"/>
      <c r="J14" s="226" t="s">
        <v>399</v>
      </c>
      <c r="K14" s="225">
        <v>347.82608695652175</v>
      </c>
      <c r="L14" s="225">
        <v>1043.4782608695652</v>
      </c>
      <c r="M14" s="225">
        <v>1739.1304347826085</v>
      </c>
      <c r="N14" s="225">
        <v>2086.9565217391305</v>
      </c>
      <c r="O14" s="225">
        <v>3130.4347826086955</v>
      </c>
      <c r="P14" s="225">
        <f t="shared" si="0"/>
        <v>21913.043478260872</v>
      </c>
      <c r="Q14" s="225">
        <v>30</v>
      </c>
      <c r="R14">
        <f t="shared" si="1"/>
        <v>657391.30434782617</v>
      </c>
    </row>
    <row r="15" spans="2:18">
      <c r="B15" s="225"/>
      <c r="C15" s="225"/>
      <c r="D15" s="226" t="s">
        <v>400</v>
      </c>
      <c r="E15" s="226">
        <v>1</v>
      </c>
      <c r="F15" s="225"/>
      <c r="G15" s="225"/>
      <c r="H15" s="225"/>
      <c r="I15" s="225"/>
      <c r="J15" s="226" t="s">
        <v>400</v>
      </c>
      <c r="K15" s="225">
        <v>347.82608695652175</v>
      </c>
      <c r="L15" s="225">
        <v>1043.4782608695652</v>
      </c>
      <c r="M15" s="225">
        <v>1739.1304347826085</v>
      </c>
      <c r="N15" s="225">
        <v>2086.9565217391305</v>
      </c>
      <c r="O15" s="225">
        <v>3130.4347826086955</v>
      </c>
      <c r="P15" s="225">
        <f t="shared" si="0"/>
        <v>21913.043478260872</v>
      </c>
      <c r="Q15" s="225">
        <v>0</v>
      </c>
      <c r="R15">
        <f t="shared" si="1"/>
        <v>0</v>
      </c>
    </row>
    <row r="16" spans="2:18">
      <c r="B16" s="225"/>
      <c r="C16" s="225"/>
      <c r="D16" s="226" t="s">
        <v>401</v>
      </c>
      <c r="E16" s="226">
        <v>3.3000000000000002E-2</v>
      </c>
      <c r="F16" s="225" t="s">
        <v>402</v>
      </c>
      <c r="G16" s="225"/>
      <c r="H16" s="225"/>
      <c r="I16" s="225"/>
      <c r="J16" s="226" t="s">
        <v>401</v>
      </c>
      <c r="K16" s="225">
        <v>11.478260869565219</v>
      </c>
      <c r="L16" s="225">
        <v>34.434782608695656</v>
      </c>
      <c r="M16" s="225">
        <v>57.391304347826086</v>
      </c>
      <c r="N16" s="225">
        <v>68.869565217391312</v>
      </c>
      <c r="O16" s="225">
        <v>103.30434782608697</v>
      </c>
      <c r="P16" s="225">
        <f t="shared" si="0"/>
        <v>723.13043478260875</v>
      </c>
      <c r="Q16" s="225">
        <v>65</v>
      </c>
      <c r="R16">
        <f t="shared" si="1"/>
        <v>47003.478260869568</v>
      </c>
    </row>
    <row r="17" spans="2:18">
      <c r="B17" s="225"/>
      <c r="C17" s="225"/>
      <c r="D17" s="226" t="s">
        <v>403</v>
      </c>
      <c r="E17" s="225"/>
      <c r="F17" s="225"/>
      <c r="G17" s="225"/>
      <c r="H17" s="225"/>
      <c r="I17" s="225"/>
      <c r="J17" s="226" t="s">
        <v>403</v>
      </c>
      <c r="K17" s="225"/>
      <c r="L17" s="225"/>
      <c r="M17" s="225"/>
      <c r="N17" s="225"/>
      <c r="O17" s="225"/>
      <c r="P17" s="225"/>
      <c r="R17">
        <f t="shared" si="1"/>
        <v>0</v>
      </c>
    </row>
    <row r="18" spans="2:18">
      <c r="B18" s="225"/>
      <c r="C18" s="225"/>
      <c r="D18" s="226" t="s">
        <v>404</v>
      </c>
      <c r="E18" s="225"/>
      <c r="F18" s="225"/>
      <c r="G18" s="225"/>
      <c r="H18" s="225"/>
      <c r="I18" s="225"/>
      <c r="J18" s="226" t="s">
        <v>404</v>
      </c>
      <c r="K18" s="225"/>
      <c r="L18" s="225"/>
      <c r="M18" s="225"/>
      <c r="N18" s="225"/>
      <c r="O18" s="225"/>
      <c r="P18" s="225"/>
      <c r="R18">
        <f t="shared" si="1"/>
        <v>0</v>
      </c>
    </row>
    <row r="19" spans="2:18"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R19" s="266">
        <f>SUM(R6:R18)</f>
        <v>9120829.5652173925</v>
      </c>
    </row>
    <row r="20" spans="2:18"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</row>
    <row r="21" spans="2:18">
      <c r="B21" s="225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</row>
    <row r="22" spans="2:18">
      <c r="B22" s="225"/>
      <c r="C22" s="225"/>
      <c r="D22" s="225"/>
      <c r="E22" s="225"/>
      <c r="F22" s="225"/>
      <c r="G22" s="225"/>
      <c r="H22" s="225"/>
      <c r="I22" s="225" t="s">
        <v>405</v>
      </c>
      <c r="J22" s="225"/>
      <c r="K22" s="225"/>
      <c r="L22" s="225"/>
      <c r="M22" s="225"/>
      <c r="N22" s="225"/>
      <c r="O22" s="225"/>
      <c r="P22" s="225"/>
    </row>
    <row r="23" spans="2:18"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25"/>
      <c r="N23" s="225"/>
      <c r="O23" s="499" t="s">
        <v>528</v>
      </c>
      <c r="P23" s="499" t="s">
        <v>529</v>
      </c>
    </row>
    <row r="24" spans="2:18">
      <c r="B24" s="225"/>
      <c r="C24" s="225"/>
      <c r="D24" s="225"/>
      <c r="E24" s="225"/>
      <c r="F24" s="225"/>
      <c r="G24" s="225"/>
      <c r="H24" s="225"/>
      <c r="I24" s="225"/>
      <c r="J24" s="225"/>
      <c r="K24" s="225" t="s">
        <v>525</v>
      </c>
      <c r="L24" s="225" t="s">
        <v>526</v>
      </c>
      <c r="M24" s="225" t="s">
        <v>527</v>
      </c>
      <c r="N24" s="225" t="s">
        <v>490</v>
      </c>
      <c r="O24" s="499"/>
      <c r="P24" s="499"/>
      <c r="Q24" s="225" t="s">
        <v>538</v>
      </c>
    </row>
    <row r="25" spans="2:18">
      <c r="B25" s="225"/>
      <c r="C25" s="225"/>
      <c r="D25" s="225"/>
      <c r="E25" s="225"/>
      <c r="F25" s="225"/>
      <c r="G25" s="225"/>
      <c r="H25" s="225"/>
      <c r="I25" s="225"/>
      <c r="J25" s="226" t="s">
        <v>388</v>
      </c>
      <c r="K25" s="225">
        <v>1344</v>
      </c>
      <c r="L25" s="225">
        <f>K25/50</f>
        <v>26.88</v>
      </c>
      <c r="M25" s="225">
        <f>L25/2</f>
        <v>13.44</v>
      </c>
      <c r="N25" s="225">
        <f>Q6</f>
        <v>2000</v>
      </c>
      <c r="O25" s="225">
        <f>M25*N25</f>
        <v>26880</v>
      </c>
      <c r="P25" s="225">
        <f>K25*N25</f>
        <v>2688000</v>
      </c>
    </row>
    <row r="26" spans="2:18">
      <c r="B26" s="225"/>
      <c r="C26" s="225"/>
      <c r="D26" s="225"/>
      <c r="E26" s="225"/>
      <c r="F26" s="225"/>
      <c r="G26" s="225"/>
      <c r="H26" s="225"/>
      <c r="I26" s="225"/>
      <c r="J26" s="226" t="s">
        <v>390</v>
      </c>
      <c r="K26" s="225">
        <v>120000</v>
      </c>
      <c r="L26" s="225">
        <f t="shared" ref="L26:L35" si="2">K26/50</f>
        <v>2400</v>
      </c>
      <c r="M26" s="225">
        <f t="shared" ref="M26:M35" si="3">L26/2</f>
        <v>1200</v>
      </c>
      <c r="N26" s="225">
        <f t="shared" ref="N26:N35" si="4">Q7</f>
        <v>14</v>
      </c>
      <c r="O26" s="225">
        <f t="shared" ref="O26:O35" si="5">M26*N26</f>
        <v>16800</v>
      </c>
      <c r="P26" s="225">
        <f t="shared" ref="P26:P35" si="6">K26*N26</f>
        <v>1680000</v>
      </c>
    </row>
    <row r="27" spans="2:18">
      <c r="B27" s="225"/>
      <c r="C27" s="225"/>
      <c r="D27" s="225"/>
      <c r="E27" s="225"/>
      <c r="F27" s="225"/>
      <c r="G27" s="225"/>
      <c r="H27" s="225"/>
      <c r="I27" s="225"/>
      <c r="J27" s="226" t="s">
        <v>392</v>
      </c>
      <c r="K27" s="225">
        <v>1200000</v>
      </c>
      <c r="L27" s="225">
        <f t="shared" si="2"/>
        <v>24000</v>
      </c>
      <c r="M27" s="225">
        <f t="shared" si="3"/>
        <v>12000</v>
      </c>
      <c r="N27" s="225">
        <f t="shared" si="4"/>
        <v>0.14166666666666666</v>
      </c>
      <c r="O27" s="225">
        <f t="shared" si="5"/>
        <v>1700</v>
      </c>
      <c r="P27" s="225">
        <f t="shared" si="6"/>
        <v>170000</v>
      </c>
    </row>
    <row r="28" spans="2:18">
      <c r="B28" s="225"/>
      <c r="C28" s="225"/>
      <c r="D28" s="225"/>
      <c r="E28" s="225"/>
      <c r="F28" s="225"/>
      <c r="G28" s="225"/>
      <c r="H28" s="225"/>
      <c r="I28" s="225"/>
      <c r="J28" s="226" t="s">
        <v>394</v>
      </c>
      <c r="K28" s="225">
        <v>24000</v>
      </c>
      <c r="L28" s="225">
        <f t="shared" si="2"/>
        <v>480</v>
      </c>
      <c r="M28" s="225">
        <f t="shared" si="3"/>
        <v>240</v>
      </c>
      <c r="N28" s="225">
        <f t="shared" si="4"/>
        <v>120</v>
      </c>
      <c r="O28" s="225">
        <f t="shared" si="5"/>
        <v>28800</v>
      </c>
      <c r="P28" s="225">
        <f t="shared" si="6"/>
        <v>2880000</v>
      </c>
    </row>
    <row r="29" spans="2:18">
      <c r="B29" s="225"/>
      <c r="C29" s="225"/>
      <c r="D29" s="225"/>
      <c r="E29" s="225"/>
      <c r="F29" s="225"/>
      <c r="G29" s="225"/>
      <c r="H29" s="225"/>
      <c r="I29" s="225"/>
      <c r="J29" s="226" t="s">
        <v>395</v>
      </c>
      <c r="K29" s="225">
        <v>24000</v>
      </c>
      <c r="L29" s="225">
        <f t="shared" si="2"/>
        <v>480</v>
      </c>
      <c r="M29" s="225">
        <f t="shared" si="3"/>
        <v>240</v>
      </c>
      <c r="N29" s="225">
        <f t="shared" si="4"/>
        <v>0</v>
      </c>
      <c r="O29" s="225">
        <f t="shared" si="5"/>
        <v>0</v>
      </c>
      <c r="P29" s="225">
        <f t="shared" si="6"/>
        <v>0</v>
      </c>
    </row>
    <row r="30" spans="2:18">
      <c r="B30" s="225"/>
      <c r="C30" s="225"/>
      <c r="D30" s="225"/>
      <c r="E30" s="225"/>
      <c r="F30" s="225"/>
      <c r="G30" s="225"/>
      <c r="H30" s="225"/>
      <c r="I30" s="225"/>
      <c r="J30" s="226" t="s">
        <v>396</v>
      </c>
      <c r="K30" s="225">
        <v>24000</v>
      </c>
      <c r="L30" s="225">
        <f t="shared" si="2"/>
        <v>480</v>
      </c>
      <c r="M30" s="225">
        <f t="shared" si="3"/>
        <v>240</v>
      </c>
      <c r="N30" s="225">
        <f t="shared" si="4"/>
        <v>50</v>
      </c>
      <c r="O30" s="225">
        <f t="shared" si="5"/>
        <v>12000</v>
      </c>
      <c r="P30" s="225">
        <f t="shared" si="6"/>
        <v>1200000</v>
      </c>
    </row>
    <row r="31" spans="2:18">
      <c r="B31" s="225"/>
      <c r="C31" s="225"/>
      <c r="D31" s="225"/>
      <c r="E31" s="225"/>
      <c r="F31" s="225"/>
      <c r="G31" s="225"/>
      <c r="H31" s="225"/>
      <c r="I31" s="225"/>
      <c r="J31" s="226" t="s">
        <v>397</v>
      </c>
      <c r="K31" s="225">
        <v>24000</v>
      </c>
      <c r="L31" s="225">
        <f t="shared" si="2"/>
        <v>480</v>
      </c>
      <c r="M31" s="225">
        <f t="shared" si="3"/>
        <v>240</v>
      </c>
      <c r="N31" s="225">
        <f t="shared" si="4"/>
        <v>5</v>
      </c>
      <c r="O31" s="225">
        <f t="shared" si="5"/>
        <v>1200</v>
      </c>
      <c r="P31" s="225">
        <f t="shared" si="6"/>
        <v>120000</v>
      </c>
    </row>
    <row r="32" spans="2:18">
      <c r="B32" s="225"/>
      <c r="C32" s="225"/>
      <c r="D32" s="225"/>
      <c r="E32" s="225"/>
      <c r="F32" s="225"/>
      <c r="G32" s="225"/>
      <c r="H32" s="225"/>
      <c r="I32" s="225"/>
      <c r="J32" s="226" t="s">
        <v>398</v>
      </c>
      <c r="K32" s="225">
        <v>24000</v>
      </c>
      <c r="L32" s="225">
        <f t="shared" si="2"/>
        <v>480</v>
      </c>
      <c r="M32" s="225">
        <f t="shared" si="3"/>
        <v>240</v>
      </c>
      <c r="N32" s="225">
        <f t="shared" si="4"/>
        <v>20</v>
      </c>
      <c r="O32" s="225">
        <f t="shared" si="5"/>
        <v>4800</v>
      </c>
      <c r="P32" s="225">
        <f t="shared" si="6"/>
        <v>480000</v>
      </c>
    </row>
    <row r="33" spans="2:17">
      <c r="B33" s="225"/>
      <c r="C33" s="225"/>
      <c r="D33" s="225"/>
      <c r="E33" s="225"/>
      <c r="F33" s="225"/>
      <c r="G33" s="225"/>
      <c r="H33" s="225"/>
      <c r="I33" s="225"/>
      <c r="J33" s="226" t="s">
        <v>399</v>
      </c>
      <c r="K33" s="225">
        <v>24000</v>
      </c>
      <c r="L33" s="225">
        <f t="shared" si="2"/>
        <v>480</v>
      </c>
      <c r="M33" s="225">
        <f t="shared" si="3"/>
        <v>240</v>
      </c>
      <c r="N33" s="225">
        <f t="shared" si="4"/>
        <v>30</v>
      </c>
      <c r="O33" s="225">
        <f t="shared" si="5"/>
        <v>7200</v>
      </c>
      <c r="P33" s="225">
        <f t="shared" si="6"/>
        <v>720000</v>
      </c>
    </row>
    <row r="34" spans="2:17">
      <c r="B34" s="225"/>
      <c r="C34" s="225"/>
      <c r="D34" s="225"/>
      <c r="E34" s="225"/>
      <c r="F34" s="225"/>
      <c r="G34" s="225"/>
      <c r="H34" s="225"/>
      <c r="I34" s="225"/>
      <c r="J34" s="226" t="s">
        <v>400</v>
      </c>
      <c r="K34" s="225">
        <v>24000</v>
      </c>
      <c r="L34" s="225">
        <f t="shared" si="2"/>
        <v>480</v>
      </c>
      <c r="M34" s="225">
        <f t="shared" si="3"/>
        <v>240</v>
      </c>
      <c r="N34" s="225">
        <f t="shared" si="4"/>
        <v>0</v>
      </c>
      <c r="O34" s="225">
        <f t="shared" si="5"/>
        <v>0</v>
      </c>
      <c r="P34" s="225">
        <f t="shared" si="6"/>
        <v>0</v>
      </c>
    </row>
    <row r="35" spans="2:17">
      <c r="B35" s="225"/>
      <c r="C35" s="225"/>
      <c r="D35" s="225"/>
      <c r="E35" s="225"/>
      <c r="F35" s="225"/>
      <c r="G35" s="225"/>
      <c r="H35" s="225"/>
      <c r="I35" s="225"/>
      <c r="J35" s="226" t="s">
        <v>401</v>
      </c>
      <c r="K35" s="225">
        <v>792</v>
      </c>
      <c r="L35" s="225">
        <f t="shared" si="2"/>
        <v>15.84</v>
      </c>
      <c r="M35" s="225">
        <f t="shared" si="3"/>
        <v>7.92</v>
      </c>
      <c r="N35" s="225">
        <f t="shared" si="4"/>
        <v>65</v>
      </c>
      <c r="O35" s="225">
        <f t="shared" si="5"/>
        <v>514.79999999999995</v>
      </c>
      <c r="P35" s="225">
        <f t="shared" si="6"/>
        <v>51480</v>
      </c>
    </row>
    <row r="36" spans="2:17">
      <c r="B36" s="225"/>
      <c r="C36" s="225"/>
      <c r="D36" s="225"/>
      <c r="E36" s="225"/>
      <c r="F36" s="225"/>
      <c r="G36" s="225"/>
      <c r="H36" s="225"/>
      <c r="I36" s="225"/>
      <c r="J36" s="226" t="s">
        <v>403</v>
      </c>
      <c r="K36" s="225"/>
      <c r="L36" s="225"/>
      <c r="M36" s="225"/>
      <c r="N36" s="225"/>
      <c r="O36" s="225"/>
      <c r="P36" s="225"/>
    </row>
    <row r="37" spans="2:17">
      <c r="B37" s="225"/>
      <c r="C37" s="225"/>
      <c r="D37" s="225"/>
      <c r="E37" s="225"/>
      <c r="F37" s="225"/>
      <c r="G37" s="225"/>
      <c r="H37" s="225"/>
      <c r="I37" s="225"/>
      <c r="J37" s="226" t="s">
        <v>404</v>
      </c>
      <c r="K37" s="225"/>
      <c r="L37" s="225"/>
      <c r="M37" s="225"/>
      <c r="N37" s="225"/>
      <c r="O37" s="225"/>
      <c r="P37" s="225"/>
    </row>
    <row r="39" spans="2:17">
      <c r="O39" s="266">
        <f>SUM(O25:O35)</f>
        <v>99894.8</v>
      </c>
      <c r="P39" s="266">
        <f>SUM(P25:P35)</f>
        <v>9989480</v>
      </c>
      <c r="Q39" s="329">
        <f>P39/12</f>
        <v>832456.66666666663</v>
      </c>
    </row>
  </sheetData>
  <mergeCells count="3">
    <mergeCell ref="K4:N4"/>
    <mergeCell ref="O23:O24"/>
    <mergeCell ref="P23:P24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B2:G20"/>
  <sheetViews>
    <sheetView workbookViewId="0">
      <pane xSplit="20100" topLeftCell="Q1"/>
      <selection activeCell="O30" sqref="O30"/>
      <selection pane="topRight" activeCell="Q1" sqref="Q1"/>
    </sheetView>
  </sheetViews>
  <sheetFormatPr baseColWidth="10" defaultColWidth="9.140625" defaultRowHeight="12.75"/>
  <cols>
    <col min="1" max="256" width="11.42578125" customWidth="1"/>
  </cols>
  <sheetData>
    <row r="2" spans="2:7">
      <c r="E2" t="s">
        <v>406</v>
      </c>
      <c r="F2" t="s">
        <v>49</v>
      </c>
      <c r="G2" t="s">
        <v>407</v>
      </c>
    </row>
    <row r="3" spans="2:7">
      <c r="B3" t="s">
        <v>408</v>
      </c>
      <c r="F3">
        <v>20890.434782608696</v>
      </c>
      <c r="G3">
        <v>24000</v>
      </c>
    </row>
    <row r="4" spans="2:7">
      <c r="B4" t="s">
        <v>409</v>
      </c>
      <c r="F4">
        <v>240</v>
      </c>
      <c r="G4">
        <v>240</v>
      </c>
    </row>
    <row r="5" spans="2:7">
      <c r="B5" t="s">
        <v>410</v>
      </c>
      <c r="F5">
        <v>21130</v>
      </c>
      <c r="G5">
        <v>24000</v>
      </c>
    </row>
    <row r="6" spans="2:7">
      <c r="B6" t="s">
        <v>411</v>
      </c>
      <c r="D6" t="s">
        <v>412</v>
      </c>
      <c r="F6">
        <v>732.62223715743801</v>
      </c>
      <c r="G6">
        <v>832.11414590721347</v>
      </c>
    </row>
    <row r="7" spans="2:7">
      <c r="D7" t="s">
        <v>413</v>
      </c>
      <c r="F7">
        <v>0</v>
      </c>
      <c r="G7">
        <v>0</v>
      </c>
    </row>
    <row r="8" spans="2:7">
      <c r="D8" t="s">
        <v>414</v>
      </c>
      <c r="F8">
        <v>0</v>
      </c>
      <c r="G8">
        <v>0</v>
      </c>
    </row>
    <row r="9" spans="2:7">
      <c r="B9" t="s">
        <v>415</v>
      </c>
      <c r="D9" t="s">
        <v>416</v>
      </c>
      <c r="F9">
        <v>13.44</v>
      </c>
      <c r="G9">
        <v>13.44</v>
      </c>
    </row>
    <row r="10" spans="2:7">
      <c r="D10" t="s">
        <v>413</v>
      </c>
      <c r="F10">
        <v>30000</v>
      </c>
      <c r="G10">
        <v>30000</v>
      </c>
    </row>
    <row r="11" spans="2:7">
      <c r="D11" t="s">
        <v>414</v>
      </c>
      <c r="F11">
        <v>300000</v>
      </c>
      <c r="G11">
        <v>300000</v>
      </c>
    </row>
    <row r="12" spans="2:7">
      <c r="B12" t="s">
        <v>417</v>
      </c>
      <c r="D12" t="s">
        <v>416</v>
      </c>
      <c r="F12">
        <v>292.17391304347825</v>
      </c>
      <c r="G12">
        <v>1344</v>
      </c>
    </row>
    <row r="13" spans="2:7">
      <c r="D13" t="s">
        <v>413</v>
      </c>
      <c r="F13">
        <v>26086.956521739128</v>
      </c>
      <c r="G13">
        <v>120000</v>
      </c>
    </row>
    <row r="14" spans="2:7">
      <c r="D14" t="s">
        <v>414</v>
      </c>
      <c r="F14">
        <v>260869.5652173913</v>
      </c>
      <c r="G14">
        <v>1200000</v>
      </c>
    </row>
    <row r="15" spans="2:7">
      <c r="B15" t="s">
        <v>418</v>
      </c>
      <c r="D15" t="s">
        <v>416</v>
      </c>
      <c r="E15">
        <v>175.30434782608694</v>
      </c>
      <c r="F15">
        <v>122.86287625418056</v>
      </c>
      <c r="G15">
        <v>122.86287625418056</v>
      </c>
    </row>
    <row r="16" spans="2:7">
      <c r="D16" t="s">
        <v>413</v>
      </c>
      <c r="E16">
        <v>15652.173913043476</v>
      </c>
      <c r="F16">
        <v>10969.899665551839</v>
      </c>
      <c r="G16">
        <v>10969.899665551839</v>
      </c>
    </row>
    <row r="17" spans="2:7">
      <c r="D17" t="s">
        <v>414</v>
      </c>
      <c r="E17">
        <v>156521.73913043478</v>
      </c>
      <c r="F17">
        <v>109698.99665551841</v>
      </c>
      <c r="G17">
        <v>109698.99665551841</v>
      </c>
    </row>
    <row r="18" spans="2:7">
      <c r="B18" t="s">
        <v>419</v>
      </c>
      <c r="D18" t="s">
        <v>416</v>
      </c>
      <c r="E18">
        <v>175.30434782608694</v>
      </c>
      <c r="F18">
        <v>1168.6956521739128</v>
      </c>
      <c r="G18">
        <v>1344</v>
      </c>
    </row>
    <row r="19" spans="2:7">
      <c r="D19" t="s">
        <v>413</v>
      </c>
      <c r="E19">
        <v>15652.173913043476</v>
      </c>
      <c r="F19">
        <v>104347.8260869565</v>
      </c>
      <c r="G19">
        <v>120000</v>
      </c>
    </row>
    <row r="20" spans="2:7">
      <c r="D20" t="s">
        <v>414</v>
      </c>
      <c r="E20">
        <v>156521.73913043478</v>
      </c>
      <c r="F20">
        <v>1043478.2608695653</v>
      </c>
      <c r="G20">
        <v>1200000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3:P44"/>
  <sheetViews>
    <sheetView workbookViewId="0">
      <selection activeCell="D12" sqref="D12"/>
    </sheetView>
  </sheetViews>
  <sheetFormatPr baseColWidth="10" defaultColWidth="9.140625" defaultRowHeight="12.75"/>
  <cols>
    <col min="1" max="256" width="11.42578125" customWidth="1"/>
  </cols>
  <sheetData>
    <row r="3" spans="3:16" ht="15.75">
      <c r="C3" s="243" t="s">
        <v>420</v>
      </c>
      <c r="D3" s="241"/>
      <c r="E3" s="241"/>
      <c r="F3" s="241"/>
      <c r="G3" s="240"/>
      <c r="H3" s="243" t="s">
        <v>421</v>
      </c>
      <c r="I3" s="240"/>
      <c r="J3" s="240"/>
      <c r="K3" s="240"/>
      <c r="L3" s="240"/>
      <c r="M3" s="243" t="s">
        <v>422</v>
      </c>
      <c r="N3" s="240"/>
      <c r="O3" s="240"/>
    </row>
    <row r="5" spans="3:16" ht="15.75">
      <c r="C5" s="243" t="s">
        <v>49</v>
      </c>
      <c r="D5" s="240"/>
      <c r="E5" s="240"/>
      <c r="F5" s="240"/>
      <c r="G5" s="240"/>
      <c r="H5" s="243" t="s">
        <v>49</v>
      </c>
      <c r="I5" s="240"/>
      <c r="J5" s="240"/>
      <c r="K5" s="240"/>
      <c r="L5" s="240"/>
      <c r="M5" s="242" t="s">
        <v>49</v>
      </c>
      <c r="N5" s="240"/>
      <c r="O5" s="240"/>
    </row>
    <row r="6" spans="3:16" ht="15">
      <c r="C6" s="247" t="s">
        <v>423</v>
      </c>
      <c r="D6" s="247" t="s">
        <v>424</v>
      </c>
      <c r="E6" s="247" t="s">
        <v>425</v>
      </c>
      <c r="F6" s="240"/>
      <c r="G6" s="240"/>
      <c r="H6" s="247" t="s">
        <v>423</v>
      </c>
      <c r="I6" s="247" t="s">
        <v>424</v>
      </c>
      <c r="J6" s="247" t="s">
        <v>425</v>
      </c>
      <c r="K6" s="240"/>
      <c r="L6" s="240"/>
      <c r="M6" s="247" t="s">
        <v>423</v>
      </c>
      <c r="N6" s="247" t="s">
        <v>424</v>
      </c>
      <c r="O6" s="247" t="s">
        <v>425</v>
      </c>
    </row>
    <row r="7" spans="3:16" ht="15">
      <c r="C7" s="247" t="s">
        <v>426</v>
      </c>
      <c r="D7" s="245">
        <v>175.30434782608694</v>
      </c>
      <c r="E7" s="245">
        <v>175.30434782608694</v>
      </c>
      <c r="F7" s="240"/>
      <c r="G7" s="240"/>
      <c r="H7" s="247" t="s">
        <v>426</v>
      </c>
      <c r="I7" s="246">
        <v>15652.173913043476</v>
      </c>
      <c r="J7" s="246">
        <v>15652.173913043476</v>
      </c>
      <c r="K7" s="240"/>
      <c r="L7" s="240"/>
      <c r="M7" s="247" t="s">
        <v>426</v>
      </c>
      <c r="N7" s="246">
        <v>156521.73913043478</v>
      </c>
      <c r="O7" s="246">
        <v>156521.73913043478</v>
      </c>
    </row>
    <row r="8" spans="3:16" ht="15">
      <c r="C8" s="247" t="s">
        <v>427</v>
      </c>
      <c r="D8" s="245">
        <v>155.82608695652172</v>
      </c>
      <c r="E8" s="245">
        <v>0</v>
      </c>
      <c r="F8" s="240"/>
      <c r="G8" s="240"/>
      <c r="H8" s="247" t="s">
        <v>427</v>
      </c>
      <c r="I8" s="246">
        <v>13913.043478260868</v>
      </c>
      <c r="J8" s="244">
        <v>0</v>
      </c>
      <c r="K8" s="240"/>
      <c r="L8" s="240"/>
      <c r="M8" s="247" t="s">
        <v>427</v>
      </c>
      <c r="N8" s="246">
        <v>139130.4347826087</v>
      </c>
      <c r="O8" s="244">
        <v>0</v>
      </c>
    </row>
    <row r="9" spans="3:16" ht="15">
      <c r="C9" s="247" t="s">
        <v>428</v>
      </c>
      <c r="D9" s="245">
        <v>97.391304347826065</v>
      </c>
      <c r="E9" s="245">
        <v>0</v>
      </c>
      <c r="F9" s="240"/>
      <c r="G9" s="240"/>
      <c r="H9" s="247" t="s">
        <v>428</v>
      </c>
      <c r="I9" s="246">
        <v>8695.6521739130421</v>
      </c>
      <c r="J9" s="244">
        <v>0</v>
      </c>
      <c r="K9" s="240"/>
      <c r="L9" s="240"/>
      <c r="M9" s="247" t="s">
        <v>428</v>
      </c>
      <c r="N9" s="246">
        <v>86956.521739130432</v>
      </c>
      <c r="O9" s="244">
        <v>0</v>
      </c>
    </row>
    <row r="10" spans="3:16" ht="15">
      <c r="C10" s="247" t="s">
        <v>429</v>
      </c>
      <c r="D10" s="245">
        <v>116.8695652173913</v>
      </c>
      <c r="E10" s="245">
        <v>116.86956521739131</v>
      </c>
      <c r="F10" s="240"/>
      <c r="G10" s="240"/>
      <c r="H10" s="247" t="s">
        <v>429</v>
      </c>
      <c r="I10" s="246">
        <v>10434.782608695652</v>
      </c>
      <c r="J10" s="246">
        <v>10434.782608695652</v>
      </c>
      <c r="K10" s="240"/>
      <c r="L10" s="240"/>
      <c r="M10" s="247" t="s">
        <v>429</v>
      </c>
      <c r="N10" s="246">
        <v>104347.82608695653</v>
      </c>
      <c r="O10" s="246">
        <v>104347.82608695653</v>
      </c>
    </row>
    <row r="11" spans="3:16" ht="15">
      <c r="C11" s="247" t="s">
        <v>430</v>
      </c>
      <c r="D11" s="245">
        <v>116.86956521739131</v>
      </c>
      <c r="E11" s="245">
        <v>116.86956521739131</v>
      </c>
      <c r="F11" s="240"/>
      <c r="G11" s="240"/>
      <c r="H11" s="247" t="s">
        <v>430</v>
      </c>
      <c r="I11" s="246">
        <v>10434.782608695652</v>
      </c>
      <c r="J11" s="246">
        <v>10434.782608695652</v>
      </c>
      <c r="K11" s="240"/>
      <c r="L11" s="240"/>
      <c r="M11" s="247" t="s">
        <v>430</v>
      </c>
      <c r="N11" s="246">
        <v>104347.82608695653</v>
      </c>
      <c r="O11" s="246">
        <v>104347.82608695653</v>
      </c>
    </row>
    <row r="12" spans="3:16" ht="15">
      <c r="C12" s="247" t="s">
        <v>431</v>
      </c>
      <c r="D12" s="245">
        <v>116.86956521739131</v>
      </c>
      <c r="E12" s="245">
        <v>116.86956521739131</v>
      </c>
      <c r="F12" s="240"/>
      <c r="G12" s="240"/>
      <c r="H12" s="247" t="s">
        <v>431</v>
      </c>
      <c r="I12" s="246">
        <v>10434.782608695652</v>
      </c>
      <c r="J12" s="246">
        <v>10434.782608695652</v>
      </c>
      <c r="K12" s="240"/>
      <c r="L12" s="240"/>
      <c r="M12" s="247" t="s">
        <v>431</v>
      </c>
      <c r="N12" s="246">
        <v>104347.82608695653</v>
      </c>
      <c r="O12" s="246">
        <v>104347.82608695653</v>
      </c>
    </row>
    <row r="13" spans="3:16" ht="15">
      <c r="C13" s="247" t="s">
        <v>432</v>
      </c>
      <c r="D13" s="245">
        <v>116.86956521739131</v>
      </c>
      <c r="E13" s="245">
        <v>116.86956521739131</v>
      </c>
      <c r="F13" s="240"/>
      <c r="G13" s="240"/>
      <c r="H13" s="247" t="s">
        <v>432</v>
      </c>
      <c r="I13" s="246">
        <v>10434.782608695652</v>
      </c>
      <c r="J13" s="246">
        <v>10434.782608695652</v>
      </c>
      <c r="K13" s="240"/>
      <c r="L13" s="240"/>
      <c r="M13" s="247" t="s">
        <v>432</v>
      </c>
      <c r="N13" s="246">
        <v>104347.82608695653</v>
      </c>
      <c r="O13" s="246">
        <v>104347.82608695653</v>
      </c>
    </row>
    <row r="14" spans="3:16" ht="15">
      <c r="C14" s="247" t="s">
        <v>433</v>
      </c>
      <c r="D14" s="245">
        <v>116.86956521739131</v>
      </c>
      <c r="E14" s="245">
        <v>116.86956521739131</v>
      </c>
      <c r="F14" s="240"/>
      <c r="G14" s="240"/>
      <c r="H14" s="247" t="s">
        <v>433</v>
      </c>
      <c r="I14" s="246">
        <v>10434.782608695652</v>
      </c>
      <c r="J14" s="246">
        <v>10434.782608695652</v>
      </c>
      <c r="K14" s="240"/>
      <c r="L14" s="240"/>
      <c r="M14" s="247" t="s">
        <v>433</v>
      </c>
      <c r="N14" s="246">
        <v>104347.82608695653</v>
      </c>
      <c r="O14" s="246">
        <v>104347.82608695653</v>
      </c>
    </row>
    <row r="15" spans="3:16" ht="15">
      <c r="C15" s="247" t="s">
        <v>434</v>
      </c>
      <c r="D15" s="245">
        <v>116.86956521739131</v>
      </c>
      <c r="E15" s="245">
        <v>116.86956521739131</v>
      </c>
      <c r="F15" s="240"/>
      <c r="G15" s="240"/>
      <c r="H15" s="247" t="s">
        <v>434</v>
      </c>
      <c r="I15" s="246">
        <v>10434.782608695652</v>
      </c>
      <c r="J15" s="246">
        <v>10434.782608695652</v>
      </c>
      <c r="K15" s="240"/>
      <c r="L15" s="240"/>
      <c r="M15" s="247" t="s">
        <v>434</v>
      </c>
      <c r="N15" s="246">
        <v>104347.82608695653</v>
      </c>
      <c r="O15" s="246">
        <v>104347.82608695653</v>
      </c>
      <c r="P15" s="240"/>
    </row>
    <row r="16" spans="3:16" ht="15">
      <c r="C16" s="247" t="s">
        <v>435</v>
      </c>
      <c r="D16" s="245">
        <v>116.86956521739131</v>
      </c>
      <c r="E16" s="245">
        <v>116.86956521739131</v>
      </c>
      <c r="F16" s="240"/>
      <c r="G16" s="240"/>
      <c r="H16" s="247" t="s">
        <v>435</v>
      </c>
      <c r="I16" s="246">
        <v>10434.782608695652</v>
      </c>
      <c r="J16" s="246">
        <v>10434.782608695652</v>
      </c>
      <c r="K16" s="240"/>
      <c r="L16" s="240"/>
      <c r="M16" s="247" t="s">
        <v>435</v>
      </c>
      <c r="N16" s="246">
        <v>104347.82608695653</v>
      </c>
      <c r="O16" s="246">
        <v>104347.82608695653</v>
      </c>
      <c r="P16" s="240"/>
    </row>
    <row r="17" spans="3:16" ht="15">
      <c r="C17" s="247" t="s">
        <v>436</v>
      </c>
      <c r="D17" s="245">
        <v>116.86956521739131</v>
      </c>
      <c r="E17" s="245">
        <v>116.86956521739131</v>
      </c>
      <c r="F17" s="240"/>
      <c r="G17" s="240"/>
      <c r="H17" s="247" t="s">
        <v>436</v>
      </c>
      <c r="I17" s="246">
        <v>10434.782608695652</v>
      </c>
      <c r="J17" s="246">
        <v>10434.782608695652</v>
      </c>
      <c r="K17" s="240"/>
      <c r="L17" s="240"/>
      <c r="M17" s="247" t="s">
        <v>436</v>
      </c>
      <c r="N17" s="246">
        <v>104347.82608695653</v>
      </c>
      <c r="O17" s="246">
        <v>104347.82608695653</v>
      </c>
      <c r="P17" s="240"/>
    </row>
    <row r="18" spans="3:16" ht="15">
      <c r="C18" s="247" t="s">
        <v>437</v>
      </c>
      <c r="D18" s="245">
        <v>116.86956521739131</v>
      </c>
      <c r="E18" s="245">
        <v>116.86956521739131</v>
      </c>
      <c r="F18" s="240"/>
      <c r="G18" s="240"/>
      <c r="H18" s="247" t="s">
        <v>437</v>
      </c>
      <c r="I18" s="246">
        <v>10434.782608695652</v>
      </c>
      <c r="J18" s="246">
        <v>10434.782608695652</v>
      </c>
      <c r="K18" s="240"/>
      <c r="L18" s="240"/>
      <c r="M18" s="247" t="s">
        <v>437</v>
      </c>
      <c r="N18" s="246">
        <v>104347.82608695653</v>
      </c>
      <c r="O18" s="246">
        <v>104347.82608695653</v>
      </c>
      <c r="P18" s="240"/>
    </row>
    <row r="19" spans="3:16" ht="15">
      <c r="C19" s="247" t="s">
        <v>438</v>
      </c>
      <c r="D19" s="245">
        <v>116.86956521739131</v>
      </c>
      <c r="E19" s="245">
        <v>116.86956521739131</v>
      </c>
      <c r="F19" s="240"/>
      <c r="G19" s="240"/>
      <c r="H19" s="247" t="s">
        <v>438</v>
      </c>
      <c r="I19" s="246">
        <v>10434.782608695652</v>
      </c>
      <c r="J19" s="246">
        <v>10434.782608695652</v>
      </c>
      <c r="K19" s="240"/>
      <c r="L19" s="240"/>
      <c r="M19" s="247" t="s">
        <v>438</v>
      </c>
      <c r="N19" s="246">
        <v>104347.82608695653</v>
      </c>
      <c r="O19" s="246">
        <v>104347.82608695653</v>
      </c>
      <c r="P19" s="240"/>
    </row>
    <row r="20" spans="3:16" ht="15">
      <c r="C20" s="248" t="s">
        <v>439</v>
      </c>
      <c r="D20" s="245">
        <v>122.86287625418056</v>
      </c>
      <c r="E20" s="245">
        <v>1168.6956521739128</v>
      </c>
      <c r="F20" s="242" t="s">
        <v>153</v>
      </c>
      <c r="G20" s="240"/>
      <c r="H20" s="248" t="s">
        <v>439</v>
      </c>
      <c r="I20" s="246">
        <v>10969.899665551839</v>
      </c>
      <c r="J20" s="246">
        <v>104347.8260869565</v>
      </c>
      <c r="K20" s="242" t="s">
        <v>153</v>
      </c>
      <c r="L20" s="240"/>
      <c r="M20" s="248" t="s">
        <v>439</v>
      </c>
      <c r="N20" s="246">
        <v>109698.99665551841</v>
      </c>
      <c r="O20" s="246">
        <v>1043478.2608695653</v>
      </c>
      <c r="P20" s="242" t="s">
        <v>153</v>
      </c>
    </row>
    <row r="21" spans="3:16">
      <c r="E21" s="258">
        <f>SUM(E8:E19)</f>
        <v>1168.6956521739128</v>
      </c>
      <c r="F21" s="258"/>
      <c r="G21" s="258"/>
      <c r="H21" s="258"/>
      <c r="I21" s="258"/>
      <c r="J21" s="258">
        <f>SUM(J8:J19)</f>
        <v>104347.8260869565</v>
      </c>
      <c r="K21" s="258"/>
      <c r="L21" s="258"/>
      <c r="M21" s="258"/>
      <c r="N21" s="258"/>
      <c r="O21" s="258">
        <f>SUM(O8:O19)</f>
        <v>1043478.2608695653</v>
      </c>
    </row>
    <row r="24" spans="3:16" ht="15.75">
      <c r="C24" s="243" t="s">
        <v>440</v>
      </c>
      <c r="D24" s="240"/>
      <c r="E24" s="240"/>
      <c r="F24" s="240"/>
      <c r="G24" s="240"/>
      <c r="H24" s="240"/>
      <c r="I24" s="240"/>
      <c r="J24" s="240"/>
      <c r="K24" s="240"/>
      <c r="L24" s="243" t="s">
        <v>441</v>
      </c>
      <c r="M24" s="240"/>
      <c r="N24" s="240"/>
      <c r="O24" s="240"/>
      <c r="P24" s="240"/>
    </row>
    <row r="25" spans="3:16" ht="15"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</row>
    <row r="26" spans="3:16" ht="15.75">
      <c r="C26" s="243" t="s">
        <v>49</v>
      </c>
      <c r="D26" s="240"/>
      <c r="E26" s="240"/>
      <c r="F26" s="240"/>
      <c r="G26" s="240"/>
      <c r="H26" s="240"/>
      <c r="I26" s="240"/>
      <c r="J26" s="240"/>
      <c r="K26" s="240"/>
      <c r="L26" s="242" t="s">
        <v>49</v>
      </c>
      <c r="M26" s="240"/>
      <c r="N26" s="240"/>
      <c r="O26" s="240"/>
      <c r="P26" s="240"/>
    </row>
    <row r="27" spans="3:16" ht="15">
      <c r="C27" s="247" t="s">
        <v>423</v>
      </c>
      <c r="D27" s="247" t="s">
        <v>424</v>
      </c>
      <c r="E27" s="247" t="s">
        <v>425</v>
      </c>
      <c r="F27" s="240"/>
      <c r="G27" s="240"/>
      <c r="H27" s="240"/>
      <c r="I27" s="240"/>
      <c r="J27" s="240"/>
      <c r="K27" s="240"/>
      <c r="L27" s="247" t="s">
        <v>423</v>
      </c>
      <c r="M27" s="247" t="s">
        <v>424</v>
      </c>
      <c r="N27" s="247" t="s">
        <v>425</v>
      </c>
      <c r="O27" s="240"/>
      <c r="P27" s="240"/>
    </row>
    <row r="28" spans="3:16" ht="15">
      <c r="C28" s="247" t="s">
        <v>426</v>
      </c>
      <c r="D28" s="244">
        <v>3131</v>
      </c>
      <c r="E28" s="244">
        <v>3131</v>
      </c>
      <c r="F28" s="240"/>
      <c r="G28" s="240"/>
      <c r="H28" s="240"/>
      <c r="I28" s="240"/>
      <c r="J28" s="240"/>
      <c r="K28" s="240"/>
      <c r="L28" s="247" t="s">
        <v>426</v>
      </c>
      <c r="M28" s="246">
        <v>103.30434782608697</v>
      </c>
      <c r="N28" s="246">
        <v>103.30434782608697</v>
      </c>
      <c r="O28" s="240"/>
      <c r="P28" s="240"/>
    </row>
    <row r="29" spans="3:16" ht="15">
      <c r="C29" s="247" t="s">
        <v>427</v>
      </c>
      <c r="D29" s="244">
        <v>2783</v>
      </c>
      <c r="E29" s="244">
        <v>0</v>
      </c>
      <c r="F29" s="240"/>
      <c r="G29" s="240"/>
      <c r="H29" s="240"/>
      <c r="I29" s="240"/>
      <c r="J29" s="240"/>
      <c r="K29" s="240"/>
      <c r="L29" s="247" t="s">
        <v>427</v>
      </c>
      <c r="M29" s="246">
        <v>91.826086956521749</v>
      </c>
      <c r="N29" s="244">
        <v>0</v>
      </c>
      <c r="O29" s="240"/>
      <c r="P29" s="240"/>
    </row>
    <row r="30" spans="3:16" ht="15">
      <c r="C30" s="247" t="s">
        <v>428</v>
      </c>
      <c r="D30" s="244">
        <v>1739</v>
      </c>
      <c r="E30" s="244">
        <v>0</v>
      </c>
      <c r="F30" s="240"/>
      <c r="G30" s="240"/>
      <c r="H30" s="240"/>
      <c r="I30" s="240"/>
      <c r="J30" s="240"/>
      <c r="K30" s="240"/>
      <c r="L30" s="247" t="s">
        <v>428</v>
      </c>
      <c r="M30" s="246">
        <v>57.391304347826093</v>
      </c>
      <c r="N30" s="244">
        <v>0</v>
      </c>
      <c r="O30" s="240"/>
      <c r="P30" s="240"/>
    </row>
    <row r="31" spans="3:16" ht="15">
      <c r="C31" s="247" t="s">
        <v>429</v>
      </c>
      <c r="D31" s="244">
        <v>2000</v>
      </c>
      <c r="E31" s="244">
        <v>2000</v>
      </c>
      <c r="F31" s="240"/>
      <c r="G31" s="240"/>
      <c r="H31" s="240"/>
      <c r="I31" s="240"/>
      <c r="J31" s="240"/>
      <c r="K31" s="240"/>
      <c r="L31" s="247" t="s">
        <v>429</v>
      </c>
      <c r="M31" s="246">
        <v>66</v>
      </c>
      <c r="N31" s="246">
        <v>66</v>
      </c>
      <c r="O31" s="240"/>
    </row>
    <row r="32" spans="3:16" ht="15">
      <c r="C32" s="247" t="s">
        <v>430</v>
      </c>
      <c r="D32" s="244">
        <v>2000</v>
      </c>
      <c r="E32" s="244">
        <v>2000</v>
      </c>
      <c r="F32" s="240"/>
      <c r="G32" s="240"/>
      <c r="H32" s="240"/>
      <c r="I32" s="240"/>
      <c r="J32" s="240"/>
      <c r="K32" s="240"/>
      <c r="L32" s="247" t="s">
        <v>430</v>
      </c>
      <c r="M32" s="246">
        <v>66</v>
      </c>
      <c r="N32" s="246">
        <v>66</v>
      </c>
      <c r="O32" s="240"/>
    </row>
    <row r="33" spans="1:15" ht="15">
      <c r="C33" s="247" t="s">
        <v>431</v>
      </c>
      <c r="D33" s="244">
        <v>2000</v>
      </c>
      <c r="E33" s="244">
        <v>2000</v>
      </c>
      <c r="F33" s="240"/>
      <c r="G33" s="240"/>
      <c r="H33" s="240"/>
      <c r="I33" s="240"/>
      <c r="J33" s="240"/>
      <c r="K33" s="240"/>
      <c r="L33" s="247" t="s">
        <v>431</v>
      </c>
      <c r="M33" s="246">
        <v>66</v>
      </c>
      <c r="N33" s="246">
        <v>66</v>
      </c>
      <c r="O33" s="240"/>
    </row>
    <row r="34" spans="1:15" ht="15">
      <c r="C34" s="247" t="s">
        <v>432</v>
      </c>
      <c r="D34" s="244">
        <v>2000</v>
      </c>
      <c r="E34" s="244">
        <v>2000</v>
      </c>
      <c r="F34" s="240"/>
      <c r="G34" s="240"/>
      <c r="H34" s="240"/>
      <c r="I34" s="240"/>
      <c r="J34" s="240"/>
      <c r="K34" s="240"/>
      <c r="L34" s="247" t="s">
        <v>432</v>
      </c>
      <c r="M34" s="246">
        <v>66</v>
      </c>
      <c r="N34" s="246">
        <v>66</v>
      </c>
      <c r="O34" s="240"/>
    </row>
    <row r="35" spans="1:15" ht="15">
      <c r="C35" s="247" t="s">
        <v>433</v>
      </c>
      <c r="D35" s="244">
        <v>2000</v>
      </c>
      <c r="E35" s="244">
        <v>2000</v>
      </c>
      <c r="F35" s="240"/>
      <c r="G35" s="240"/>
      <c r="H35" s="240"/>
      <c r="I35" s="240"/>
      <c r="J35" s="240"/>
      <c r="K35" s="240"/>
      <c r="L35" s="247" t="s">
        <v>433</v>
      </c>
      <c r="M35" s="246">
        <v>66</v>
      </c>
      <c r="N35" s="246">
        <v>66</v>
      </c>
      <c r="O35" s="240"/>
    </row>
    <row r="36" spans="1:15" ht="15">
      <c r="C36" s="247" t="s">
        <v>434</v>
      </c>
      <c r="D36" s="244">
        <v>2000</v>
      </c>
      <c r="E36" s="244">
        <v>2000</v>
      </c>
      <c r="F36" s="240"/>
      <c r="G36" s="240"/>
      <c r="H36" s="240"/>
      <c r="I36" s="240"/>
      <c r="J36" s="240"/>
      <c r="K36" s="240"/>
      <c r="L36" s="247" t="s">
        <v>434</v>
      </c>
      <c r="M36" s="246">
        <v>66</v>
      </c>
      <c r="N36" s="246">
        <v>66</v>
      </c>
      <c r="O36" s="240"/>
    </row>
    <row r="37" spans="1:15" ht="15">
      <c r="C37" s="247" t="s">
        <v>435</v>
      </c>
      <c r="D37" s="244">
        <v>2000</v>
      </c>
      <c r="E37" s="244">
        <v>2000</v>
      </c>
      <c r="F37" s="240"/>
      <c r="G37" s="240"/>
      <c r="H37" s="240"/>
      <c r="I37" s="240"/>
      <c r="J37" s="240"/>
      <c r="K37" s="240"/>
      <c r="L37" s="247" t="s">
        <v>435</v>
      </c>
      <c r="M37" s="246">
        <v>66</v>
      </c>
      <c r="N37" s="246">
        <v>66</v>
      </c>
      <c r="O37" s="240"/>
    </row>
    <row r="38" spans="1:15" ht="15">
      <c r="C38" s="247" t="s">
        <v>436</v>
      </c>
      <c r="D38" s="244">
        <v>2000</v>
      </c>
      <c r="E38" s="244">
        <v>2000</v>
      </c>
      <c r="F38" s="240"/>
      <c r="G38" s="240"/>
      <c r="H38" s="240"/>
      <c r="I38" s="240"/>
      <c r="J38" s="240"/>
      <c r="K38" s="240"/>
      <c r="L38" s="247" t="s">
        <v>436</v>
      </c>
      <c r="M38" s="246">
        <v>66</v>
      </c>
      <c r="N38" s="246">
        <v>66</v>
      </c>
      <c r="O38" s="240"/>
    </row>
    <row r="39" spans="1:15" ht="15">
      <c r="C39" s="247" t="s">
        <v>437</v>
      </c>
      <c r="D39" s="244">
        <v>2000</v>
      </c>
      <c r="E39" s="244">
        <v>2000</v>
      </c>
      <c r="F39" s="240"/>
      <c r="G39" s="240"/>
      <c r="H39" s="240"/>
      <c r="I39" s="240"/>
      <c r="J39" s="240"/>
      <c r="K39" s="240"/>
      <c r="L39" s="247" t="s">
        <v>437</v>
      </c>
      <c r="M39" s="246">
        <v>66</v>
      </c>
      <c r="N39" s="246">
        <v>66</v>
      </c>
      <c r="O39" s="240"/>
    </row>
    <row r="40" spans="1:15" ht="15">
      <c r="C40" s="247" t="s">
        <v>438</v>
      </c>
      <c r="D40" s="244">
        <v>2000</v>
      </c>
      <c r="E40" s="244">
        <v>2000</v>
      </c>
      <c r="F40" s="240"/>
      <c r="G40" s="240"/>
      <c r="H40" s="240"/>
      <c r="I40" s="240"/>
      <c r="J40" s="240"/>
      <c r="K40" s="240"/>
      <c r="L40" s="247" t="s">
        <v>438</v>
      </c>
      <c r="M40" s="246">
        <v>66</v>
      </c>
      <c r="N40" s="246">
        <v>66</v>
      </c>
      <c r="O40" s="240"/>
    </row>
    <row r="41" spans="1:15" ht="15">
      <c r="C41" s="248" t="s">
        <v>439</v>
      </c>
      <c r="D41" s="244">
        <v>2127.1538461538462</v>
      </c>
      <c r="E41" s="244">
        <v>23131</v>
      </c>
      <c r="F41" s="242" t="s">
        <v>153</v>
      </c>
      <c r="G41" s="240"/>
      <c r="H41" s="240"/>
      <c r="I41" s="240"/>
      <c r="J41" s="240"/>
      <c r="K41" s="240"/>
      <c r="L41" s="248" t="s">
        <v>439</v>
      </c>
      <c r="M41" s="246">
        <v>66</v>
      </c>
      <c r="N41" s="246">
        <v>66</v>
      </c>
      <c r="O41" s="242" t="s">
        <v>153</v>
      </c>
    </row>
    <row r="42" spans="1:15">
      <c r="E42">
        <f>SUM(E29:E40)</f>
        <v>20000</v>
      </c>
      <c r="N42">
        <f>SUM(N29:N40)</f>
        <v>660</v>
      </c>
    </row>
    <row r="43" spans="1:15">
      <c r="A43" t="s">
        <v>442</v>
      </c>
      <c r="B43">
        <f>E21*'Consumo MP'!N25+J21*'Consumo MP'!N26+O21*'Consumo MP'!N27+N42*'Consumo MP'!N35+E42*SUM('Consumo MP'!N28:N34)</f>
        <v>8488986.9565217383</v>
      </c>
    </row>
    <row r="44" spans="1:15">
      <c r="A44" t="s">
        <v>48</v>
      </c>
      <c r="B44">
        <f>D7*'Consumo MP'!N25+'Consumo MP'!N26*'Stocks Mp'!I7+'Consumo MP'!N27*'Stocks Mp'!N7+'Stocks Mp'!M28*'Consumo MP'!N35+SUM('Consumo MP'!N28:N34)*'Stocks Mp'!D28</f>
        <v>1303102.8260869565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A19" sqref="A19"/>
    </sheetView>
  </sheetViews>
  <sheetFormatPr baseColWidth="10" defaultColWidth="9.140625" defaultRowHeight="12.75"/>
  <cols>
    <col min="1" max="1" width="32.28515625" style="227" customWidth="1"/>
    <col min="2" max="2" width="19.5703125" customWidth="1"/>
    <col min="3" max="3" width="12" style="291" bestFit="1" customWidth="1"/>
    <col min="4" max="8" width="11.42578125" customWidth="1"/>
    <col min="9" max="9" width="20" customWidth="1"/>
    <col min="10" max="10" width="19.7109375" customWidth="1"/>
    <col min="11" max="11" width="11.42578125" customWidth="1"/>
    <col min="12" max="12" width="15.85546875" customWidth="1"/>
    <col min="13" max="256" width="11.42578125" customWidth="1"/>
  </cols>
  <sheetData>
    <row r="1" spans="1:14">
      <c r="A1" s="293"/>
      <c r="B1" s="292" t="s">
        <v>521</v>
      </c>
      <c r="C1" s="292" t="s">
        <v>520</v>
      </c>
    </row>
    <row r="2" spans="1:14">
      <c r="A2" s="293" t="s">
        <v>443</v>
      </c>
      <c r="B2" s="292">
        <v>50000</v>
      </c>
      <c r="C2" s="292">
        <f>B2*12</f>
        <v>600000</v>
      </c>
    </row>
    <row r="3" spans="1:14" ht="13.5" thickBot="1">
      <c r="A3" s="293" t="s">
        <v>444</v>
      </c>
      <c r="B3" s="292">
        <v>35000</v>
      </c>
      <c r="C3" s="292">
        <f t="shared" ref="C3:C8" si="0">B3*12</f>
        <v>420000</v>
      </c>
    </row>
    <row r="4" spans="1:14">
      <c r="A4" s="293" t="s">
        <v>445</v>
      </c>
      <c r="B4" s="292">
        <v>22000</v>
      </c>
      <c r="C4" s="292">
        <f t="shared" si="0"/>
        <v>264000</v>
      </c>
      <c r="G4" s="303" t="s">
        <v>447</v>
      </c>
      <c r="H4" s="304"/>
      <c r="I4" s="304"/>
      <c r="J4" s="304"/>
      <c r="K4" s="304"/>
      <c r="L4" s="304"/>
      <c r="M4" s="304"/>
      <c r="N4" s="305"/>
    </row>
    <row r="5" spans="1:14">
      <c r="A5" s="293" t="s">
        <v>446</v>
      </c>
      <c r="B5" s="292">
        <v>27000</v>
      </c>
      <c r="C5" s="292">
        <f t="shared" si="0"/>
        <v>324000</v>
      </c>
      <c r="G5" s="306"/>
      <c r="H5" s="99"/>
      <c r="I5" s="99"/>
      <c r="J5" s="99"/>
      <c r="K5" s="99"/>
      <c r="L5" s="99"/>
      <c r="M5" s="99"/>
      <c r="N5" s="307"/>
    </row>
    <row r="6" spans="1:14">
      <c r="A6" s="293" t="s">
        <v>448</v>
      </c>
      <c r="B6" s="292">
        <v>45000</v>
      </c>
      <c r="C6" s="292">
        <f t="shared" si="0"/>
        <v>540000</v>
      </c>
      <c r="G6" s="306" t="s">
        <v>450</v>
      </c>
      <c r="H6" s="99"/>
      <c r="I6" s="99"/>
      <c r="J6" s="99"/>
      <c r="K6" s="99"/>
      <c r="L6" s="99"/>
      <c r="M6" s="99"/>
      <c r="N6" s="307"/>
    </row>
    <row r="7" spans="1:14">
      <c r="A7" s="293" t="s">
        <v>449</v>
      </c>
      <c r="B7" s="292">
        <v>35000</v>
      </c>
      <c r="C7" s="292">
        <f t="shared" si="0"/>
        <v>420000</v>
      </c>
      <c r="G7" s="306"/>
      <c r="H7" s="99"/>
      <c r="I7" s="99">
        <v>1</v>
      </c>
      <c r="J7" s="99" t="s">
        <v>452</v>
      </c>
      <c r="K7" s="99"/>
      <c r="L7" s="99">
        <v>365</v>
      </c>
      <c r="M7" s="99" t="s">
        <v>453</v>
      </c>
      <c r="N7" s="307"/>
    </row>
    <row r="8" spans="1:14" ht="13.5" thickBot="1">
      <c r="A8" s="293" t="s">
        <v>451</v>
      </c>
      <c r="B8" s="292">
        <v>35000</v>
      </c>
      <c r="C8" s="292">
        <f t="shared" si="0"/>
        <v>420000</v>
      </c>
      <c r="G8" s="306"/>
      <c r="H8" s="99"/>
      <c r="I8" s="99">
        <v>8</v>
      </c>
      <c r="J8" s="99" t="s">
        <v>454</v>
      </c>
      <c r="K8" s="99"/>
      <c r="L8" s="99">
        <v>15</v>
      </c>
      <c r="M8" s="99" t="s">
        <v>455</v>
      </c>
      <c r="N8" s="307"/>
    </row>
    <row r="9" spans="1:14">
      <c r="A9" s="294" t="s">
        <v>153</v>
      </c>
      <c r="B9" s="295"/>
      <c r="C9" s="296">
        <f>SUM(C2:C8)</f>
        <v>2988000</v>
      </c>
      <c r="G9" s="306"/>
      <c r="H9" s="99"/>
      <c r="I9" s="99">
        <v>6</v>
      </c>
      <c r="J9" s="99" t="s">
        <v>457</v>
      </c>
      <c r="K9" s="99"/>
      <c r="L9" s="99">
        <v>10</v>
      </c>
      <c r="M9" s="99" t="s">
        <v>458</v>
      </c>
      <c r="N9" s="307"/>
    </row>
    <row r="10" spans="1:14">
      <c r="A10" s="297" t="s">
        <v>456</v>
      </c>
      <c r="B10" s="298"/>
      <c r="C10" s="299">
        <f>C6</f>
        <v>540000</v>
      </c>
      <c r="G10" s="306"/>
      <c r="H10" s="99"/>
      <c r="I10" s="99"/>
      <c r="J10" s="99"/>
      <c r="K10" s="99"/>
      <c r="L10" s="99">
        <v>50</v>
      </c>
      <c r="M10" s="99" t="s">
        <v>460</v>
      </c>
      <c r="N10" s="307"/>
    </row>
    <row r="11" spans="1:14">
      <c r="A11" s="297" t="s">
        <v>459</v>
      </c>
      <c r="B11" s="298"/>
      <c r="C11" s="299">
        <f>SUM(C2,C3,C4,C5,C7,C8)</f>
        <v>2448000</v>
      </c>
      <c r="G11" s="306"/>
      <c r="H11" s="99"/>
      <c r="I11" s="99"/>
      <c r="J11" s="99"/>
      <c r="K11" s="99"/>
      <c r="L11" s="99"/>
      <c r="M11" s="99"/>
      <c r="N11" s="307"/>
    </row>
    <row r="12" spans="1:14" ht="13.5" thickBot="1">
      <c r="A12" s="300" t="s">
        <v>461</v>
      </c>
      <c r="B12" s="301"/>
      <c r="C12" s="302">
        <f>C10+C5+C7</f>
        <v>1284000</v>
      </c>
      <c r="G12" s="306"/>
      <c r="H12" s="99"/>
      <c r="I12" s="99"/>
      <c r="J12" s="99" t="s">
        <v>462</v>
      </c>
      <c r="K12" s="99">
        <v>2320</v>
      </c>
      <c r="L12" s="99" t="s">
        <v>463</v>
      </c>
      <c r="M12" s="99"/>
      <c r="N12" s="307"/>
    </row>
    <row r="13" spans="1:14">
      <c r="G13" s="306"/>
      <c r="H13" s="99"/>
      <c r="I13" s="99"/>
      <c r="J13" s="99"/>
      <c r="K13" s="99"/>
      <c r="L13" s="99"/>
      <c r="M13" s="99"/>
      <c r="N13" s="307"/>
    </row>
    <row r="14" spans="1:14">
      <c r="G14" s="306"/>
      <c r="H14" s="99" t="s">
        <v>464</v>
      </c>
      <c r="I14" s="99" t="s">
        <v>465</v>
      </c>
      <c r="J14" s="99"/>
      <c r="K14" s="99"/>
      <c r="L14" s="99"/>
      <c r="M14" s="99"/>
      <c r="N14" s="307"/>
    </row>
    <row r="15" spans="1:14" ht="13.5" thickBot="1">
      <c r="G15" s="308"/>
      <c r="H15" s="309">
        <f>(B6/3)*12/2320</f>
        <v>77.58620689655173</v>
      </c>
      <c r="I15" s="309">
        <f>C6/InfoInicial!B19</f>
        <v>22.5</v>
      </c>
      <c r="J15" s="309"/>
      <c r="K15" s="309"/>
      <c r="L15" s="309"/>
      <c r="M15" s="309"/>
      <c r="N15" s="310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B1:F33"/>
  <sheetViews>
    <sheetView topLeftCell="A11" workbookViewId="0">
      <selection activeCell="G22" sqref="G22"/>
    </sheetView>
  </sheetViews>
  <sheetFormatPr baseColWidth="10" defaultRowHeight="12.75"/>
  <cols>
    <col min="2" max="2" width="27.7109375" bestFit="1" customWidth="1"/>
    <col min="4" max="4" width="13.5703125" bestFit="1" customWidth="1"/>
  </cols>
  <sheetData>
    <row r="1" spans="2:6" ht="13.5" thickBot="1"/>
    <row r="2" spans="2:6">
      <c r="B2" s="287"/>
      <c r="C2" s="285" t="s">
        <v>489</v>
      </c>
      <c r="D2" s="286" t="s">
        <v>490</v>
      </c>
      <c r="E2" t="s">
        <v>153</v>
      </c>
    </row>
    <row r="3" spans="2:6">
      <c r="B3" s="288" t="s">
        <v>471</v>
      </c>
      <c r="C3" s="273">
        <v>1</v>
      </c>
      <c r="D3" s="278">
        <v>175000</v>
      </c>
      <c r="E3">
        <f>C3*D3</f>
        <v>175000</v>
      </c>
    </row>
    <row r="4" spans="2:6" ht="15">
      <c r="B4" s="283" t="s">
        <v>472</v>
      </c>
      <c r="C4" s="273">
        <v>3</v>
      </c>
      <c r="D4" s="278">
        <v>3736</v>
      </c>
      <c r="E4">
        <f t="shared" ref="E4:E32" si="0">C4*D4</f>
        <v>11208</v>
      </c>
      <c r="F4" s="271" t="s">
        <v>491</v>
      </c>
    </row>
    <row r="5" spans="2:6" ht="15">
      <c r="B5" s="283" t="s">
        <v>473</v>
      </c>
      <c r="C5" s="273">
        <v>1</v>
      </c>
      <c r="D5" s="278">
        <v>65603</v>
      </c>
      <c r="E5">
        <f t="shared" si="0"/>
        <v>65603</v>
      </c>
      <c r="F5" s="271" t="s">
        <v>492</v>
      </c>
    </row>
    <row r="6" spans="2:6" ht="15">
      <c r="B6" s="283" t="s">
        <v>474</v>
      </c>
      <c r="C6" s="273">
        <v>1</v>
      </c>
      <c r="D6" s="278">
        <v>100000</v>
      </c>
      <c r="E6">
        <f t="shared" si="0"/>
        <v>100000</v>
      </c>
      <c r="F6" s="271" t="s">
        <v>493</v>
      </c>
    </row>
    <row r="7" spans="2:6" ht="15">
      <c r="B7" s="283" t="s">
        <v>475</v>
      </c>
      <c r="C7" s="273">
        <v>2</v>
      </c>
      <c r="D7" s="279">
        <v>150000</v>
      </c>
      <c r="E7">
        <f t="shared" si="0"/>
        <v>300000</v>
      </c>
      <c r="F7" s="271" t="s">
        <v>494</v>
      </c>
    </row>
    <row r="8" spans="2:6" ht="15">
      <c r="B8" s="283" t="s">
        <v>476</v>
      </c>
      <c r="C8" s="273">
        <v>1</v>
      </c>
      <c r="D8" s="278">
        <v>55000</v>
      </c>
      <c r="E8">
        <f t="shared" si="0"/>
        <v>55000</v>
      </c>
      <c r="F8" s="271" t="s">
        <v>495</v>
      </c>
    </row>
    <row r="9" spans="2:6" ht="15">
      <c r="B9" s="283" t="s">
        <v>477</v>
      </c>
      <c r="C9" s="273">
        <v>3</v>
      </c>
      <c r="D9" s="278">
        <v>5586</v>
      </c>
      <c r="E9">
        <f t="shared" si="0"/>
        <v>16758</v>
      </c>
      <c r="F9" s="271" t="s">
        <v>496</v>
      </c>
    </row>
    <row r="10" spans="2:6" ht="15">
      <c r="B10" s="283" t="s">
        <v>478</v>
      </c>
      <c r="C10" s="273">
        <v>1</v>
      </c>
      <c r="D10" s="278">
        <v>75000</v>
      </c>
      <c r="E10">
        <f t="shared" si="0"/>
        <v>75000</v>
      </c>
      <c r="F10" s="271" t="s">
        <v>497</v>
      </c>
    </row>
    <row r="11" spans="2:6" ht="15">
      <c r="B11" s="283" t="s">
        <v>479</v>
      </c>
      <c r="C11" s="273">
        <v>1</v>
      </c>
      <c r="D11" s="278">
        <v>25590</v>
      </c>
      <c r="E11">
        <f t="shared" si="0"/>
        <v>25590</v>
      </c>
      <c r="F11" s="271" t="s">
        <v>498</v>
      </c>
    </row>
    <row r="12" spans="2:6" ht="15">
      <c r="B12" s="283" t="s">
        <v>480</v>
      </c>
      <c r="C12" s="273">
        <v>2</v>
      </c>
      <c r="D12" s="278">
        <v>11900</v>
      </c>
      <c r="F12" s="271" t="s">
        <v>499</v>
      </c>
    </row>
    <row r="13" spans="2:6" ht="15">
      <c r="B13" s="283" t="s">
        <v>481</v>
      </c>
      <c r="C13" s="273">
        <v>3</v>
      </c>
      <c r="D13" s="278">
        <v>8637</v>
      </c>
      <c r="E13">
        <f t="shared" si="0"/>
        <v>25911</v>
      </c>
      <c r="F13" s="271" t="s">
        <v>500</v>
      </c>
    </row>
    <row r="14" spans="2:6" ht="15">
      <c r="B14" s="283" t="s">
        <v>482</v>
      </c>
      <c r="C14" s="273">
        <v>1</v>
      </c>
      <c r="D14" s="278">
        <v>241000</v>
      </c>
      <c r="E14">
        <f t="shared" si="0"/>
        <v>241000</v>
      </c>
      <c r="F14" s="271" t="s">
        <v>501</v>
      </c>
    </row>
    <row r="15" spans="2:6" ht="15">
      <c r="B15" s="283" t="s">
        <v>483</v>
      </c>
      <c r="C15" s="273">
        <v>1</v>
      </c>
      <c r="D15" s="278">
        <v>17923</v>
      </c>
      <c r="E15">
        <f t="shared" si="0"/>
        <v>17923</v>
      </c>
      <c r="F15" s="270" t="s">
        <v>502</v>
      </c>
    </row>
    <row r="16" spans="2:6" ht="15">
      <c r="B16" s="283" t="s">
        <v>484</v>
      </c>
      <c r="C16" s="273">
        <v>1</v>
      </c>
      <c r="D16" s="278">
        <v>999</v>
      </c>
      <c r="E16">
        <f t="shared" si="0"/>
        <v>999</v>
      </c>
      <c r="F16" s="271" t="s">
        <v>503</v>
      </c>
    </row>
    <row r="17" spans="2:6" ht="15">
      <c r="B17" s="283" t="s">
        <v>485</v>
      </c>
      <c r="C17" s="273">
        <v>1</v>
      </c>
      <c r="D17" s="278">
        <v>250000</v>
      </c>
      <c r="E17">
        <f t="shared" si="0"/>
        <v>250000</v>
      </c>
      <c r="F17" s="271" t="s">
        <v>504</v>
      </c>
    </row>
    <row r="18" spans="2:6" ht="15">
      <c r="B18" s="283" t="s">
        <v>486</v>
      </c>
      <c r="C18" s="273">
        <v>1</v>
      </c>
      <c r="D18" s="278">
        <v>6600</v>
      </c>
      <c r="E18">
        <f t="shared" si="0"/>
        <v>6600</v>
      </c>
      <c r="F18" s="272" t="s">
        <v>505</v>
      </c>
    </row>
    <row r="19" spans="2:6" ht="13.5">
      <c r="B19" s="289" t="s">
        <v>487</v>
      </c>
      <c r="C19" s="273">
        <v>1</v>
      </c>
      <c r="D19" s="278">
        <v>550000</v>
      </c>
      <c r="E19">
        <f t="shared" si="0"/>
        <v>550000</v>
      </c>
      <c r="F19" s="272" t="s">
        <v>506</v>
      </c>
    </row>
    <row r="20" spans="2:6" ht="15.75" thickBot="1">
      <c r="B20" s="284" t="s">
        <v>488</v>
      </c>
      <c r="C20" s="276">
        <v>1</v>
      </c>
      <c r="D20" s="280">
        <v>350000</v>
      </c>
      <c r="E20">
        <f t="shared" si="0"/>
        <v>350000</v>
      </c>
      <c r="F20" s="270" t="s">
        <v>507</v>
      </c>
    </row>
    <row r="21" spans="2:6" ht="13.5" thickBot="1">
      <c r="E21">
        <f>SUM(E3:E20)</f>
        <v>2266592</v>
      </c>
    </row>
    <row r="22" spans="2:6" ht="15">
      <c r="B22" s="282" t="s">
        <v>508</v>
      </c>
      <c r="C22" s="285" t="s">
        <v>489</v>
      </c>
      <c r="D22" s="286" t="s">
        <v>490</v>
      </c>
    </row>
    <row r="23" spans="2:6" ht="15.75" thickBot="1">
      <c r="B23" s="284" t="s">
        <v>509</v>
      </c>
      <c r="C23" s="276">
        <v>2</v>
      </c>
      <c r="D23" s="281">
        <v>158700</v>
      </c>
      <c r="E23">
        <f t="shared" si="0"/>
        <v>317400</v>
      </c>
      <c r="F23" t="s">
        <v>571</v>
      </c>
    </row>
    <row r="24" spans="2:6" ht="13.5" thickBot="1"/>
    <row r="25" spans="2:6" ht="15">
      <c r="B25" s="282" t="s">
        <v>60</v>
      </c>
      <c r="C25" s="285" t="s">
        <v>489</v>
      </c>
      <c r="D25" s="286" t="s">
        <v>490</v>
      </c>
    </row>
    <row r="26" spans="2:6" ht="15">
      <c r="B26" s="283" t="s">
        <v>510</v>
      </c>
      <c r="C26" s="273">
        <v>5</v>
      </c>
      <c r="D26" s="274">
        <v>1199</v>
      </c>
      <c r="E26">
        <f t="shared" si="0"/>
        <v>5995</v>
      </c>
      <c r="F26" s="271" t="s">
        <v>570</v>
      </c>
    </row>
    <row r="27" spans="2:6" ht="15">
      <c r="B27" s="283" t="s">
        <v>511</v>
      </c>
      <c r="C27" s="273">
        <v>5</v>
      </c>
      <c r="D27" s="274">
        <v>1399</v>
      </c>
      <c r="E27">
        <f t="shared" si="0"/>
        <v>6995</v>
      </c>
      <c r="F27" s="271" t="s">
        <v>513</v>
      </c>
    </row>
    <row r="28" spans="2:6" ht="15">
      <c r="B28" s="283" t="s">
        <v>512</v>
      </c>
      <c r="C28" s="273">
        <v>2</v>
      </c>
      <c r="D28" s="274">
        <v>3099</v>
      </c>
      <c r="E28">
        <f t="shared" si="0"/>
        <v>6198</v>
      </c>
      <c r="F28" s="271" t="s">
        <v>514</v>
      </c>
    </row>
    <row r="29" spans="2:6" ht="15">
      <c r="B29" s="283" t="s">
        <v>515</v>
      </c>
      <c r="C29" s="273">
        <v>5</v>
      </c>
      <c r="D29" s="274">
        <v>5999</v>
      </c>
      <c r="E29">
        <f t="shared" si="0"/>
        <v>29995</v>
      </c>
      <c r="F29" s="271" t="s">
        <v>517</v>
      </c>
    </row>
    <row r="30" spans="2:6" ht="15">
      <c r="B30" s="283" t="s">
        <v>516</v>
      </c>
      <c r="C30" s="273">
        <v>2</v>
      </c>
      <c r="D30" s="274">
        <v>6399</v>
      </c>
      <c r="E30">
        <f t="shared" si="0"/>
        <v>12798</v>
      </c>
      <c r="F30" s="271" t="s">
        <v>569</v>
      </c>
    </row>
    <row r="31" spans="2:6" ht="15">
      <c r="B31" s="283" t="s">
        <v>518</v>
      </c>
      <c r="C31" s="273">
        <v>1</v>
      </c>
      <c r="D31" s="275">
        <v>1990</v>
      </c>
      <c r="E31">
        <f t="shared" si="0"/>
        <v>1990</v>
      </c>
      <c r="F31" s="271" t="s">
        <v>568</v>
      </c>
    </row>
    <row r="32" spans="2:6" ht="15.75" thickBot="1">
      <c r="B32" s="284" t="s">
        <v>519</v>
      </c>
      <c r="C32" s="276">
        <v>1</v>
      </c>
      <c r="D32" s="277">
        <v>1932</v>
      </c>
      <c r="E32">
        <f t="shared" si="0"/>
        <v>1932</v>
      </c>
      <c r="F32" s="271" t="s">
        <v>567</v>
      </c>
    </row>
    <row r="33" spans="5:5">
      <c r="E33">
        <f>SUM(E26:E32)</f>
        <v>65903</v>
      </c>
    </row>
  </sheetData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 location="D[S:ADV,L:VQCATCORE_LST,V:1" display="http://articulo.mercadolibre.com.ar/MLA-630564783-guillotina-cizalla-chapa-trapezoidal-y-acanalada-excelente-_JM - D[S:ADV,L:VQCATCORE_LST,V:1"/>
    <hyperlink ref="F11" r:id="rId8"/>
    <hyperlink ref="F12" r:id="rId9"/>
    <hyperlink ref="F13" r:id="rId10"/>
    <hyperlink ref="F14" r:id="rId11"/>
    <hyperlink ref="F16" r:id="rId12"/>
    <hyperlink ref="F17" r:id="rId13"/>
    <hyperlink ref="F18" r:id="rId14"/>
    <hyperlink ref="F19" r:id="rId15"/>
    <hyperlink ref="F27" r:id="rId16" location="D[S:ADV,L:VQCATCORE_LST,V:1]"/>
    <hyperlink ref="F28" r:id="rId17"/>
    <hyperlink ref="F29" r:id="rId18"/>
  </hyperlinks>
  <pageMargins left="0.7" right="0.7" top="0.75" bottom="0.75" header="0.3" footer="0.3"/>
  <pageSetup paperSize="9" orientation="portrait" horizontalDpi="0" verticalDpi="0" r:id="rId19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topLeftCell="A30" workbookViewId="0">
      <selection activeCell="C27" sqref="C27"/>
    </sheetView>
  </sheetViews>
  <sheetFormatPr baseColWidth="10" defaultColWidth="11.42578125" defaultRowHeight="12.75"/>
  <cols>
    <col min="1" max="1" width="45.42578125" style="14" customWidth="1"/>
    <col min="2" max="7" width="14.85546875" style="14" customWidth="1"/>
    <col min="8" max="16384" width="11.42578125" style="14"/>
  </cols>
  <sheetData>
    <row r="1" spans="1:7">
      <c r="A1" s="1" t="s">
        <v>44</v>
      </c>
      <c r="B1"/>
      <c r="C1"/>
      <c r="D1"/>
      <c r="E1" s="2">
        <f>InfoInicial!E1</f>
        <v>0</v>
      </c>
    </row>
    <row r="2" spans="1:7" ht="13.5" thickBot="1"/>
    <row r="3" spans="1:7" ht="16.5" thickTop="1">
      <c r="A3" s="15" t="s">
        <v>45</v>
      </c>
      <c r="B3" s="475" t="s">
        <v>46</v>
      </c>
      <c r="C3" s="475"/>
      <c r="D3" s="476" t="s">
        <v>47</v>
      </c>
      <c r="E3" s="477"/>
      <c r="F3" s="421" t="s">
        <v>575</v>
      </c>
      <c r="G3" s="265"/>
    </row>
    <row r="4" spans="1:7" ht="16.5" thickBot="1">
      <c r="A4" s="16"/>
      <c r="B4" s="17" t="s">
        <v>48</v>
      </c>
      <c r="C4" s="17" t="s">
        <v>49</v>
      </c>
      <c r="D4" s="17" t="s">
        <v>48</v>
      </c>
      <c r="E4" s="106" t="s">
        <v>49</v>
      </c>
      <c r="F4" s="422"/>
    </row>
    <row r="5" spans="1:7" ht="13.5" thickTop="1">
      <c r="A5" s="19"/>
      <c r="B5" s="20"/>
      <c r="C5" s="20"/>
      <c r="D5" s="327"/>
      <c r="E5" s="417"/>
      <c r="F5" s="422"/>
    </row>
    <row r="6" spans="1:7">
      <c r="A6" s="21" t="s">
        <v>50</v>
      </c>
      <c r="B6" s="22"/>
      <c r="C6" s="22"/>
      <c r="D6" s="22"/>
      <c r="E6" s="418"/>
      <c r="F6" s="422"/>
    </row>
    <row r="7" spans="1:7">
      <c r="A7" s="23" t="s">
        <v>51</v>
      </c>
      <c r="B7" s="269">
        <f>Datos!B4*1100*InfoInicial!B32</f>
        <v>12540000</v>
      </c>
      <c r="C7" s="24"/>
      <c r="D7" s="24"/>
      <c r="E7" s="419"/>
      <c r="F7" s="423">
        <f>SUM(B7:E7)</f>
        <v>12540000</v>
      </c>
    </row>
    <row r="8" spans="1:7">
      <c r="A8" s="23" t="s">
        <v>52</v>
      </c>
      <c r="B8" s="269">
        <f>Datos!B4*0.7*700*InfoInicial!B32</f>
        <v>5586000</v>
      </c>
      <c r="C8" s="24"/>
      <c r="D8" s="24"/>
      <c r="E8" s="419"/>
      <c r="F8" s="423">
        <f t="shared" ref="F8:F36" si="0">SUM(B8:E8)</f>
        <v>5586000</v>
      </c>
    </row>
    <row r="9" spans="1:7">
      <c r="A9" s="23" t="s">
        <v>53</v>
      </c>
      <c r="B9" s="24">
        <f>700*Datos!B4*InfoInicial!B32*0.3</f>
        <v>2394000</v>
      </c>
      <c r="C9" s="24"/>
      <c r="D9" s="24"/>
      <c r="E9" s="419"/>
      <c r="F9" s="423">
        <f t="shared" si="0"/>
        <v>2394000</v>
      </c>
    </row>
    <row r="10" spans="1:7">
      <c r="A10" s="23" t="s">
        <v>54</v>
      </c>
      <c r="B10" s="24"/>
      <c r="C10" s="24"/>
      <c r="D10" s="24"/>
      <c r="E10" s="419"/>
      <c r="F10" s="423">
        <f t="shared" si="0"/>
        <v>0</v>
      </c>
    </row>
    <row r="11" spans="1:7">
      <c r="A11" s="23" t="s">
        <v>55</v>
      </c>
      <c r="B11" s="24"/>
      <c r="C11" s="24"/>
      <c r="D11" s="24">
        <f>'Bienes de uso'!D12*'Bienes de uso'!C12*InfoInicial!B32</f>
        <v>361760</v>
      </c>
      <c r="E11" s="419"/>
      <c r="F11" s="423">
        <f t="shared" si="0"/>
        <v>361760</v>
      </c>
    </row>
    <row r="12" spans="1:7">
      <c r="A12" s="23" t="s">
        <v>56</v>
      </c>
      <c r="B12" s="24">
        <f>'Bienes de uso'!E21</f>
        <v>2266592</v>
      </c>
      <c r="C12" s="24"/>
      <c r="D12" s="24"/>
      <c r="E12" s="419"/>
      <c r="F12" s="423">
        <f t="shared" si="0"/>
        <v>2266592</v>
      </c>
    </row>
    <row r="13" spans="1:7">
      <c r="A13" s="25" t="s">
        <v>57</v>
      </c>
      <c r="B13" s="24">
        <f>D11*0.11</f>
        <v>39793.599999999999</v>
      </c>
      <c r="C13" s="24"/>
      <c r="D13" s="24"/>
      <c r="E13" s="419"/>
      <c r="F13" s="423">
        <f t="shared" si="0"/>
        <v>39793.599999999999</v>
      </c>
    </row>
    <row r="14" spans="1:7">
      <c r="A14" s="23" t="s">
        <v>58</v>
      </c>
      <c r="B14" s="24">
        <f>10*5000</f>
        <v>50000</v>
      </c>
      <c r="C14" s="24"/>
      <c r="D14" s="24"/>
      <c r="E14" s="419"/>
      <c r="F14" s="423">
        <f t="shared" si="0"/>
        <v>50000</v>
      </c>
    </row>
    <row r="15" spans="1:7">
      <c r="A15" s="23" t="s">
        <v>59</v>
      </c>
      <c r="B15" s="24">
        <f>'Bienes de uso'!C23*'Bienes de uso'!D23</f>
        <v>317400</v>
      </c>
      <c r="C15" s="24"/>
      <c r="D15" s="24"/>
      <c r="E15" s="419"/>
      <c r="F15" s="423">
        <f t="shared" si="0"/>
        <v>317400</v>
      </c>
    </row>
    <row r="16" spans="1:7">
      <c r="A16" s="23" t="s">
        <v>60</v>
      </c>
      <c r="B16" s="24">
        <f>'Bienes de uso'!E33</f>
        <v>65903</v>
      </c>
      <c r="C16" s="24"/>
      <c r="D16" s="24"/>
      <c r="E16" s="419"/>
      <c r="F16" s="423">
        <f t="shared" si="0"/>
        <v>65903</v>
      </c>
    </row>
    <row r="17" spans="1:6">
      <c r="A17" s="23" t="s">
        <v>61</v>
      </c>
      <c r="B17" s="24">
        <v>0</v>
      </c>
      <c r="C17" s="24"/>
      <c r="D17" s="24"/>
      <c r="E17" s="419"/>
      <c r="F17" s="423">
        <f t="shared" si="0"/>
        <v>0</v>
      </c>
    </row>
    <row r="18" spans="1:6">
      <c r="A18" s="23" t="s">
        <v>15</v>
      </c>
      <c r="B18" s="24">
        <f>SUM(B8:B17)*0.025</f>
        <v>267992.21500000003</v>
      </c>
      <c r="C18" s="24">
        <f>SUM(C8:C17)*0.025</f>
        <v>0</v>
      </c>
      <c r="D18" s="24">
        <f>SUM(D8:D17)*0.025</f>
        <v>9044</v>
      </c>
      <c r="E18" s="419"/>
      <c r="F18" s="423">
        <f t="shared" si="0"/>
        <v>277036.21500000003</v>
      </c>
    </row>
    <row r="19" spans="1:6">
      <c r="A19" s="394" t="s">
        <v>83</v>
      </c>
      <c r="B19" s="24">
        <f>SUM(B12:B14,D11)*0.016</f>
        <v>43490.329600000005</v>
      </c>
      <c r="C19" s="24"/>
      <c r="D19" s="24"/>
      <c r="E19" s="419"/>
      <c r="F19" s="423">
        <f t="shared" si="0"/>
        <v>43490.329600000005</v>
      </c>
    </row>
    <row r="20" spans="1:6">
      <c r="A20" s="21" t="s">
        <v>62</v>
      </c>
      <c r="B20" s="24">
        <f>SUM(B7:B19)</f>
        <v>23571171.1446</v>
      </c>
      <c r="C20" s="24"/>
      <c r="D20" s="24">
        <f>SUM(D8:D18)</f>
        <v>370804</v>
      </c>
      <c r="E20" s="419"/>
      <c r="F20" s="423">
        <f t="shared" si="0"/>
        <v>23941975.1446</v>
      </c>
    </row>
    <row r="21" spans="1:6">
      <c r="A21" s="23"/>
      <c r="B21" s="26"/>
      <c r="C21" s="26"/>
      <c r="D21" s="26"/>
      <c r="E21" s="420"/>
      <c r="F21" s="423">
        <f t="shared" si="0"/>
        <v>0</v>
      </c>
    </row>
    <row r="22" spans="1:6">
      <c r="A22" s="21" t="s">
        <v>63</v>
      </c>
      <c r="B22" s="26"/>
      <c r="C22" s="26"/>
      <c r="D22" s="26"/>
      <c r="E22" s="420"/>
      <c r="F22" s="423">
        <f t="shared" si="0"/>
        <v>0</v>
      </c>
    </row>
    <row r="23" spans="1:6">
      <c r="A23" s="23" t="s">
        <v>64</v>
      </c>
      <c r="B23" s="269"/>
      <c r="C23" s="24"/>
      <c r="D23" s="24"/>
      <c r="E23" s="419"/>
      <c r="F23" s="423">
        <f t="shared" si="0"/>
        <v>0</v>
      </c>
    </row>
    <row r="24" spans="1:6">
      <c r="A24" s="23" t="s">
        <v>65</v>
      </c>
      <c r="B24" s="269">
        <v>30000</v>
      </c>
      <c r="C24" s="24"/>
      <c r="D24" s="24"/>
      <c r="E24" s="419"/>
      <c r="F24" s="423">
        <f t="shared" si="0"/>
        <v>30000</v>
      </c>
    </row>
    <row r="25" spans="1:6">
      <c r="A25" s="23" t="s">
        <v>66</v>
      </c>
      <c r="B25" s="24"/>
      <c r="C25" s="24"/>
      <c r="D25" s="24"/>
      <c r="E25" s="419"/>
      <c r="F25" s="423">
        <f t="shared" si="0"/>
        <v>0</v>
      </c>
    </row>
    <row r="26" spans="1:6">
      <c r="A26" s="25" t="s">
        <v>67</v>
      </c>
      <c r="B26" s="24">
        <v>0</v>
      </c>
      <c r="C26" s="24">
        <v>0</v>
      </c>
      <c r="D26" s="24"/>
      <c r="E26" s="419"/>
      <c r="F26" s="423">
        <f t="shared" si="0"/>
        <v>0</v>
      </c>
    </row>
    <row r="27" spans="1:6">
      <c r="A27" s="25" t="s">
        <v>68</v>
      </c>
      <c r="B27" s="24">
        <v>0</v>
      </c>
      <c r="C27" s="24"/>
      <c r="D27" s="24"/>
      <c r="E27" s="419"/>
      <c r="F27" s="423">
        <f t="shared" si="0"/>
        <v>0</v>
      </c>
    </row>
    <row r="28" spans="1:6">
      <c r="A28" s="25" t="s">
        <v>69</v>
      </c>
      <c r="B28" s="24">
        <v>0</v>
      </c>
      <c r="C28" s="24"/>
      <c r="D28" s="24"/>
      <c r="E28" s="419"/>
      <c r="F28" s="423">
        <f t="shared" si="0"/>
        <v>0</v>
      </c>
    </row>
    <row r="29" spans="1:6">
      <c r="A29" s="23" t="s">
        <v>15</v>
      </c>
      <c r="B29" s="24">
        <f>SUM(B23:B28,D23:D29)*InfoInicial!B15</f>
        <v>1200</v>
      </c>
      <c r="C29" s="24">
        <f>SUM(C23:C28,E23:E28)*InfoInicial!B15</f>
        <v>0</v>
      </c>
      <c r="D29" s="24"/>
      <c r="E29" s="419"/>
      <c r="F29" s="423">
        <f t="shared" si="0"/>
        <v>1200</v>
      </c>
    </row>
    <row r="30" spans="1:6">
      <c r="A30" s="23"/>
      <c r="B30" s="24"/>
      <c r="C30" s="24"/>
      <c r="D30" s="24"/>
      <c r="E30" s="419"/>
      <c r="F30" s="423">
        <f t="shared" si="0"/>
        <v>0</v>
      </c>
    </row>
    <row r="31" spans="1:6">
      <c r="A31" s="21" t="s">
        <v>70</v>
      </c>
      <c r="B31" s="24">
        <f>SUM(B23:B29)</f>
        <v>31200</v>
      </c>
      <c r="C31" s="24">
        <f>SUM(C23:C29)</f>
        <v>0</v>
      </c>
      <c r="D31" s="24">
        <f>SUM(D23:D29)</f>
        <v>0</v>
      </c>
      <c r="E31" s="419">
        <f>SUM(E23:E29)</f>
        <v>0</v>
      </c>
      <c r="F31" s="423">
        <f t="shared" si="0"/>
        <v>31200</v>
      </c>
    </row>
    <row r="32" spans="1:6">
      <c r="A32" s="23"/>
      <c r="B32" s="26"/>
      <c r="C32" s="26"/>
      <c r="D32" s="26"/>
      <c r="E32" s="420"/>
      <c r="F32" s="423">
        <f t="shared" si="0"/>
        <v>0</v>
      </c>
    </row>
    <row r="33" spans="1:8">
      <c r="A33" s="21" t="s">
        <v>71</v>
      </c>
      <c r="B33" s="24">
        <f>SUM(B20,B31)</f>
        <v>23602371.1446</v>
      </c>
      <c r="C33" s="24">
        <f t="shared" ref="C33:D33" si="1">SUM(C20,C31)</f>
        <v>0</v>
      </c>
      <c r="D33" s="24">
        <f t="shared" si="1"/>
        <v>370804</v>
      </c>
      <c r="E33" s="419"/>
      <c r="F33" s="423">
        <f t="shared" si="0"/>
        <v>23973175.1446</v>
      </c>
    </row>
    <row r="34" spans="1:8">
      <c r="A34" s="21" t="s">
        <v>72</v>
      </c>
      <c r="B34" s="24">
        <f>F33*InfoInicial!B3</f>
        <v>5034366.7803659998</v>
      </c>
      <c r="C34" s="24"/>
      <c r="D34" s="24"/>
      <c r="E34" s="419"/>
      <c r="F34" s="423">
        <f t="shared" si="0"/>
        <v>5034366.7803659998</v>
      </c>
    </row>
    <row r="35" spans="1:8">
      <c r="A35" s="23"/>
      <c r="B35" s="26"/>
      <c r="C35" s="26"/>
      <c r="D35" s="26"/>
      <c r="E35" s="420"/>
      <c r="F35" s="423">
        <f t="shared" si="0"/>
        <v>0</v>
      </c>
    </row>
    <row r="36" spans="1:8" ht="13.5" thickBot="1">
      <c r="A36" s="27" t="s">
        <v>73</v>
      </c>
      <c r="B36" s="28">
        <f>B33+B34</f>
        <v>28636737.924966</v>
      </c>
      <c r="C36" s="28"/>
      <c r="D36" s="28">
        <f>D33</f>
        <v>370804</v>
      </c>
      <c r="E36" s="204"/>
      <c r="F36" s="424">
        <f t="shared" si="0"/>
        <v>29007541.924966</v>
      </c>
    </row>
    <row r="37" spans="1:8" ht="13.5" thickTop="1"/>
    <row r="39" spans="1:8">
      <c r="A39" s="29" t="s">
        <v>74</v>
      </c>
      <c r="B39" s="249" t="s">
        <v>75</v>
      </c>
      <c r="C39" s="249" t="s">
        <v>76</v>
      </c>
      <c r="D39" s="475" t="s">
        <v>77</v>
      </c>
      <c r="E39" s="475"/>
      <c r="F39" s="475"/>
      <c r="G39" s="30" t="s">
        <v>78</v>
      </c>
    </row>
    <row r="40" spans="1:8">
      <c r="A40" s="31"/>
      <c r="B40" s="17" t="s">
        <v>79</v>
      </c>
      <c r="C40" s="17"/>
      <c r="D40" s="17" t="s">
        <v>80</v>
      </c>
      <c r="E40" s="17" t="s">
        <v>81</v>
      </c>
      <c r="F40" s="17"/>
      <c r="G40" s="32"/>
    </row>
    <row r="41" spans="1:8">
      <c r="A41" s="33" t="s">
        <v>82</v>
      </c>
      <c r="B41" s="34"/>
      <c r="C41" s="34"/>
      <c r="D41" s="34"/>
      <c r="E41" s="34"/>
      <c r="F41" s="35"/>
      <c r="G41" s="36"/>
    </row>
    <row r="42" spans="1:8">
      <c r="A42" s="37"/>
      <c r="B42" s="38"/>
      <c r="C42" s="38"/>
      <c r="D42" s="38"/>
      <c r="E42" s="38"/>
      <c r="F42" s="39"/>
      <c r="G42" s="40"/>
    </row>
    <row r="43" spans="1:8">
      <c r="A43" s="23" t="s">
        <v>51</v>
      </c>
      <c r="B43" s="24">
        <f>B7</f>
        <v>12540000</v>
      </c>
      <c r="C43" s="24"/>
      <c r="D43" s="24"/>
      <c r="E43" s="24"/>
      <c r="F43" s="24"/>
      <c r="G43" s="41">
        <f>B43</f>
        <v>12540000</v>
      </c>
    </row>
    <row r="44" spans="1:8">
      <c r="A44" s="23" t="s">
        <v>52</v>
      </c>
      <c r="B44" s="24">
        <f>B8</f>
        <v>5586000</v>
      </c>
      <c r="C44" s="24">
        <f>1/InfoInicial!B8</f>
        <v>3.3333333333333333E-2</v>
      </c>
      <c r="D44" s="24">
        <f>B44*C44</f>
        <v>186200</v>
      </c>
      <c r="E44" s="24">
        <f t="shared" ref="E44:E49" si="2">D44</f>
        <v>186200</v>
      </c>
      <c r="F44" s="24"/>
      <c r="G44" s="41">
        <f t="shared" ref="G44:G49" si="3">B44-(D44*5)</f>
        <v>4655000</v>
      </c>
    </row>
    <row r="45" spans="1:8">
      <c r="A45" s="23" t="s">
        <v>53</v>
      </c>
      <c r="B45" s="24">
        <f>B9</f>
        <v>2394000</v>
      </c>
      <c r="C45" s="24">
        <f>1/InfoInicial!B9</f>
        <v>0.1</v>
      </c>
      <c r="D45" s="24">
        <f t="shared" ref="D45:D50" si="4">B45*C45</f>
        <v>239400</v>
      </c>
      <c r="E45" s="24">
        <f t="shared" si="2"/>
        <v>239400</v>
      </c>
      <c r="F45" s="24"/>
      <c r="G45" s="41">
        <f t="shared" si="3"/>
        <v>1197000</v>
      </c>
    </row>
    <row r="46" spans="1:8">
      <c r="A46" s="25" t="s">
        <v>54</v>
      </c>
      <c r="B46" s="24">
        <f>SUM(B12,D11,B13:B14)</f>
        <v>2718145.6</v>
      </c>
      <c r="C46" s="24">
        <f>1/InfoInicial!B10</f>
        <v>0.1</v>
      </c>
      <c r="D46" s="24">
        <f t="shared" si="4"/>
        <v>271814.56</v>
      </c>
      <c r="E46" s="24">
        <f t="shared" si="2"/>
        <v>271814.56</v>
      </c>
      <c r="F46" s="24"/>
      <c r="G46" s="41">
        <f t="shared" si="3"/>
        <v>1359072.8</v>
      </c>
    </row>
    <row r="47" spans="1:8">
      <c r="A47" s="25" t="s">
        <v>59</v>
      </c>
      <c r="B47" s="24">
        <f>B15</f>
        <v>317400</v>
      </c>
      <c r="C47" s="24">
        <f>1/InfoInicial!B11</f>
        <v>0.2</v>
      </c>
      <c r="D47" s="24">
        <f t="shared" si="4"/>
        <v>63480</v>
      </c>
      <c r="E47" s="24">
        <f t="shared" si="2"/>
        <v>63480</v>
      </c>
      <c r="F47" s="24"/>
      <c r="G47" s="41">
        <f t="shared" si="3"/>
        <v>0</v>
      </c>
      <c r="H47" s="265"/>
    </row>
    <row r="48" spans="1:8">
      <c r="A48" s="25" t="s">
        <v>60</v>
      </c>
      <c r="B48" s="24">
        <f>B16+D16</f>
        <v>65903</v>
      </c>
      <c r="C48" s="24">
        <f>1/InfoInicial!B12</f>
        <v>0.2</v>
      </c>
      <c r="D48" s="24">
        <f t="shared" si="4"/>
        <v>13180.6</v>
      </c>
      <c r="E48" s="24">
        <f t="shared" si="2"/>
        <v>13180.6</v>
      </c>
      <c r="F48" s="24"/>
      <c r="G48" s="41">
        <f t="shared" si="3"/>
        <v>0</v>
      </c>
    </row>
    <row r="49" spans="1:9">
      <c r="A49" s="25" t="s">
        <v>15</v>
      </c>
      <c r="B49" s="24">
        <f>B18+D18</f>
        <v>277036.21500000003</v>
      </c>
      <c r="C49" s="24">
        <f>1/InfoInicial!B14</f>
        <v>0.2</v>
      </c>
      <c r="D49" s="24">
        <f t="shared" si="4"/>
        <v>55407.243000000009</v>
      </c>
      <c r="E49" s="24">
        <f t="shared" si="2"/>
        <v>55407.243000000009</v>
      </c>
      <c r="F49" s="24"/>
      <c r="G49" s="41">
        <f t="shared" si="3"/>
        <v>0</v>
      </c>
    </row>
    <row r="50" spans="1:9">
      <c r="A50" s="25" t="s">
        <v>83</v>
      </c>
      <c r="B50" s="24">
        <f>B19</f>
        <v>43490.329600000005</v>
      </c>
      <c r="C50" s="24">
        <f>1/InfoInicial!B13</f>
        <v>0.33333333333333331</v>
      </c>
      <c r="D50" s="24">
        <f t="shared" si="4"/>
        <v>14496.776533333334</v>
      </c>
      <c r="E50" s="24">
        <v>0</v>
      </c>
      <c r="F50" s="24"/>
      <c r="G50" s="41">
        <v>0</v>
      </c>
    </row>
    <row r="51" spans="1:9">
      <c r="A51" s="42" t="s">
        <v>84</v>
      </c>
      <c r="B51" s="24">
        <f>SUM(B43:B50)</f>
        <v>23941975.1446</v>
      </c>
      <c r="C51" s="24"/>
      <c r="D51" s="24">
        <f>SUM(D44:D50)</f>
        <v>843979.1795333334</v>
      </c>
      <c r="E51" s="24">
        <f>SUM(E44:E50)</f>
        <v>829482.40300000005</v>
      </c>
      <c r="F51" s="24"/>
      <c r="G51" s="41">
        <f>SUM(G43:G46)</f>
        <v>19751072.800000001</v>
      </c>
    </row>
    <row r="52" spans="1:9">
      <c r="A52" s="21"/>
      <c r="B52" s="43"/>
      <c r="C52" s="44"/>
      <c r="D52" s="45"/>
      <c r="E52" s="45"/>
      <c r="F52" s="45"/>
      <c r="G52" s="46"/>
    </row>
    <row r="53" spans="1:9">
      <c r="A53" s="42" t="s">
        <v>85</v>
      </c>
      <c r="B53" s="24">
        <f>SUM(B31:C31)</f>
        <v>31200</v>
      </c>
      <c r="C53" s="24">
        <f>1/5</f>
        <v>0.2</v>
      </c>
      <c r="D53" s="24">
        <f>B53*C53</f>
        <v>6240</v>
      </c>
      <c r="E53" s="24">
        <f>D53</f>
        <v>6240</v>
      </c>
      <c r="F53" s="24"/>
      <c r="G53" s="41"/>
    </row>
    <row r="54" spans="1:9">
      <c r="A54" s="42"/>
      <c r="B54" s="24"/>
      <c r="C54" s="24"/>
      <c r="D54" s="24"/>
      <c r="E54" s="24"/>
      <c r="F54" s="24"/>
      <c r="G54" s="41"/>
    </row>
    <row r="55" spans="1:9">
      <c r="A55" s="21"/>
      <c r="B55" s="22"/>
      <c r="C55" s="22"/>
      <c r="D55" s="47"/>
      <c r="E55" s="48"/>
      <c r="F55" s="48"/>
      <c r="G55" s="49"/>
      <c r="H55" s="50"/>
      <c r="I55" s="50"/>
    </row>
    <row r="56" spans="1:9">
      <c r="A56" s="27" t="s">
        <v>86</v>
      </c>
      <c r="B56" s="28">
        <f>B51+B53</f>
        <v>23973175.1446</v>
      </c>
      <c r="C56" s="28"/>
      <c r="D56" s="28">
        <f>D51+D53</f>
        <v>850219.1795333334</v>
      </c>
      <c r="E56" s="28">
        <f>E51+E53</f>
        <v>835722.40300000005</v>
      </c>
      <c r="F56" s="28"/>
      <c r="G56" s="51">
        <f>G51</f>
        <v>19751072.800000001</v>
      </c>
      <c r="H56" s="52"/>
      <c r="I56" s="52"/>
    </row>
  </sheetData>
  <sheetProtection selectLockedCells="1" selectUnlockedCells="1"/>
  <mergeCells count="3">
    <mergeCell ref="B3:C3"/>
    <mergeCell ref="D3:E3"/>
    <mergeCell ref="D39:F39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N159"/>
  <sheetViews>
    <sheetView topLeftCell="A67" workbookViewId="0">
      <selection activeCell="B24" sqref="B24"/>
    </sheetView>
  </sheetViews>
  <sheetFormatPr baseColWidth="10" defaultColWidth="11.42578125" defaultRowHeight="12.75"/>
  <cols>
    <col min="1" max="1" width="41" style="14" customWidth="1"/>
    <col min="2" max="2" width="20.85546875" style="14" customWidth="1"/>
    <col min="3" max="3" width="18.140625" style="14" customWidth="1"/>
    <col min="4" max="4" width="18.28515625" style="14" customWidth="1"/>
    <col min="5" max="5" width="18.42578125" style="14" customWidth="1"/>
    <col min="6" max="6" width="18.140625" style="14" customWidth="1"/>
    <col min="7" max="7" width="17.42578125" style="14" customWidth="1"/>
    <col min="8" max="8" width="11.42578125" style="14"/>
    <col min="9" max="9" width="13.140625" style="14" customWidth="1"/>
    <col min="10" max="16384" width="11.42578125" style="14"/>
  </cols>
  <sheetData>
    <row r="3" spans="1:6">
      <c r="A3" s="1" t="s">
        <v>0</v>
      </c>
      <c r="B3"/>
      <c r="C3"/>
      <c r="D3"/>
      <c r="E3" s="2">
        <f>InfoInicial!E1</f>
        <v>0</v>
      </c>
    </row>
    <row r="4" spans="1:6" ht="15.75">
      <c r="A4" s="53" t="s">
        <v>87</v>
      </c>
      <c r="B4" s="54"/>
      <c r="C4" s="54"/>
      <c r="D4" s="54"/>
      <c r="E4" s="54"/>
      <c r="F4" s="55"/>
    </row>
    <row r="5" spans="1:6">
      <c r="A5" s="56"/>
      <c r="B5" s="251" t="s">
        <v>88</v>
      </c>
      <c r="C5" s="251"/>
      <c r="D5" s="251"/>
      <c r="E5" s="251"/>
      <c r="F5" s="252"/>
    </row>
    <row r="6" spans="1:6">
      <c r="A6" s="56" t="s">
        <v>89</v>
      </c>
      <c r="B6" s="17" t="s">
        <v>49</v>
      </c>
      <c r="C6" s="17" t="s">
        <v>90</v>
      </c>
      <c r="D6" s="17" t="s">
        <v>91</v>
      </c>
      <c r="E6" s="17" t="s">
        <v>92</v>
      </c>
      <c r="F6" s="18" t="s">
        <v>93</v>
      </c>
    </row>
    <row r="7" spans="1:6" ht="13.5" thickTop="1">
      <c r="A7" s="19" t="s">
        <v>94</v>
      </c>
      <c r="B7" s="328">
        <f>'Consumo MP'!R19</f>
        <v>9120829.5652173925</v>
      </c>
      <c r="C7" s="328">
        <f>'Consumo MP'!$P$39</f>
        <v>9989480</v>
      </c>
      <c r="D7" s="328">
        <f>'Consumo MP'!$P$39</f>
        <v>9989480</v>
      </c>
      <c r="E7" s="328">
        <f>'Consumo MP'!$P$39</f>
        <v>9989480</v>
      </c>
      <c r="F7" s="328">
        <f>'Consumo MP'!$P$39</f>
        <v>9989480</v>
      </c>
    </row>
    <row r="8" spans="1:6">
      <c r="A8" s="14" t="s">
        <v>95</v>
      </c>
      <c r="B8" s="228">
        <f>0.95*C8</f>
        <v>513000</v>
      </c>
      <c r="C8" s="228">
        <f>Salarios!$C$10</f>
        <v>540000</v>
      </c>
      <c r="D8" s="228">
        <f>Salarios!$C$10</f>
        <v>540000</v>
      </c>
      <c r="E8" s="228">
        <f>Salarios!$C$10</f>
        <v>540000</v>
      </c>
      <c r="F8" s="228">
        <f>Salarios!$C$10</f>
        <v>540000</v>
      </c>
    </row>
    <row r="9" spans="1:6">
      <c r="A9" s="23" t="s">
        <v>96</v>
      </c>
      <c r="B9" s="229"/>
      <c r="C9" s="229"/>
      <c r="D9" s="229"/>
      <c r="E9" s="229"/>
      <c r="F9" s="230"/>
    </row>
    <row r="10" spans="1:6">
      <c r="A10" s="23" t="s">
        <v>97</v>
      </c>
      <c r="B10" s="229">
        <f>0.9*'E-Inv AF y Am'!D56</f>
        <v>765197.26158000005</v>
      </c>
      <c r="C10" s="229">
        <f>B10</f>
        <v>765197.26158000005</v>
      </c>
      <c r="D10" s="229">
        <f>B10</f>
        <v>765197.26158000005</v>
      </c>
      <c r="E10" s="229">
        <f>0.9*'E-Inv AF y Am'!E56</f>
        <v>752150.1627000001</v>
      </c>
      <c r="F10" s="231">
        <f>E10</f>
        <v>752150.1627000001</v>
      </c>
    </row>
    <row r="11" spans="1:6">
      <c r="A11" s="23" t="s">
        <v>98</v>
      </c>
      <c r="B11" s="229">
        <f>Salarios!C11*0.9</f>
        <v>2203200</v>
      </c>
      <c r="C11" s="229">
        <f>B11</f>
        <v>2203200</v>
      </c>
      <c r="D11" s="229">
        <f>C11</f>
        <v>2203200</v>
      </c>
      <c r="E11" s="229">
        <f>D11</f>
        <v>2203200</v>
      </c>
      <c r="F11" s="229">
        <f>E11</f>
        <v>2203200</v>
      </c>
    </row>
    <row r="12" spans="1:6">
      <c r="A12" s="23" t="s">
        <v>99</v>
      </c>
      <c r="B12" s="229">
        <f>'gastos materiales'!D7</f>
        <v>440465.78122826089</v>
      </c>
      <c r="C12" s="229">
        <f>'gastos materiales'!E7</f>
        <v>454305.53775000002</v>
      </c>
      <c r="D12" s="229">
        <f>'gastos materiales'!E7</f>
        <v>454305.53775000002</v>
      </c>
      <c r="E12" s="229">
        <f>'gastos materiales'!E7</f>
        <v>454305.53775000002</v>
      </c>
      <c r="F12" s="229">
        <f>'gastos materiales'!E7</f>
        <v>454305.53775000002</v>
      </c>
    </row>
    <row r="13" spans="1:6">
      <c r="A13" s="23" t="s">
        <v>100</v>
      </c>
      <c r="B13" s="229">
        <f>'gastos energia'!E36</f>
        <v>7562.7847826086954</v>
      </c>
      <c r="C13" s="229">
        <f>'gastos energia'!E28</f>
        <v>7960.826086956522</v>
      </c>
      <c r="D13" s="229">
        <f>'gastos energia'!E28</f>
        <v>7960.826086956522</v>
      </c>
      <c r="E13" s="229">
        <f>'gastos energia'!E28</f>
        <v>7960.826086956522</v>
      </c>
      <c r="F13" s="229">
        <f>'gastos energia'!E28</f>
        <v>7960.826086956522</v>
      </c>
    </row>
    <row r="14" spans="1:6">
      <c r="A14" s="23" t="s">
        <v>101</v>
      </c>
      <c r="B14" s="229">
        <v>0</v>
      </c>
      <c r="C14" s="229">
        <v>0</v>
      </c>
      <c r="D14" s="229">
        <v>0</v>
      </c>
      <c r="E14" s="229">
        <v>0</v>
      </c>
      <c r="F14" s="229">
        <v>0</v>
      </c>
    </row>
    <row r="15" spans="1:6">
      <c r="A15" s="23" t="s">
        <v>102</v>
      </c>
      <c r="B15" s="229">
        <f>0.9*0.008*('E-Inv AF y Am'!B8+'E-Inv AF y Am'!B7)+('E-Inv AF y Am'!B8+'E-Inv AF y Am'!B7)*0.9*0.01+('E-Inv AF y Am'!B15/2)*0.03</f>
        <v>298402.2</v>
      </c>
      <c r="C15" s="229">
        <f>B15</f>
        <v>298402.2</v>
      </c>
      <c r="D15" s="229">
        <f>C15</f>
        <v>298402.2</v>
      </c>
      <c r="E15" s="229">
        <f>D15</f>
        <v>298402.2</v>
      </c>
      <c r="F15" s="229">
        <f>E15</f>
        <v>298402.2</v>
      </c>
    </row>
    <row r="16" spans="1:6">
      <c r="A16" s="23" t="s">
        <v>15</v>
      </c>
      <c r="B16" s="229">
        <f>SUM('E-Costos'!B7:B15)*InfoInicial!$B$15</f>
        <v>533946.30371233053</v>
      </c>
      <c r="C16" s="229">
        <f>SUM('E-Costos'!C7:C15)*InfoInicial!$B$15</f>
        <v>570341.83301667823</v>
      </c>
      <c r="D16" s="229">
        <f>SUM('E-Costos'!D7:D15)*InfoInicial!$B$15</f>
        <v>570341.83301667823</v>
      </c>
      <c r="E16" s="229">
        <f>SUM('E-Costos'!E7:E15)*InfoInicial!$B$15</f>
        <v>569819.94906147826</v>
      </c>
      <c r="F16" s="229">
        <f>SUM('E-Costos'!F7:F15)*InfoInicial!$B$15</f>
        <v>569819.94906147826</v>
      </c>
    </row>
    <row r="17" spans="1:9">
      <c r="A17" s="21" t="s">
        <v>103</v>
      </c>
      <c r="B17" s="232">
        <f>SUM(B7:B16)</f>
        <v>13882603.896520592</v>
      </c>
      <c r="C17" s="232">
        <f>SUM(C7:C16)</f>
        <v>14828887.658433635</v>
      </c>
      <c r="D17" s="232">
        <f>SUM(D7:D16)</f>
        <v>14828887.658433635</v>
      </c>
      <c r="E17" s="232">
        <f>SUM(E7:E16)</f>
        <v>14815318.675598433</v>
      </c>
      <c r="F17" s="232">
        <f>SUM(F7:F16)</f>
        <v>14815318.675598433</v>
      </c>
    </row>
    <row r="18" spans="1:9">
      <c r="A18" s="63" t="s">
        <v>104</v>
      </c>
      <c r="B18" s="233">
        <f>SUM(B11,B10,B15)/B17</f>
        <v>0.23531604632173947</v>
      </c>
      <c r="C18" s="233">
        <f>SUM(C11,C10,C15)/C17</f>
        <v>0.22029969724142276</v>
      </c>
      <c r="D18" s="233">
        <f>SUM(D11,D10,D15)/D17</f>
        <v>0.22029969724142276</v>
      </c>
      <c r="E18" s="233">
        <f>SUM(E11,E10,E15)/E17</f>
        <v>0.21962081504592218</v>
      </c>
      <c r="F18" s="233">
        <f>SUM(F11,F10,F15)/F17</f>
        <v>0.21962081504592218</v>
      </c>
    </row>
    <row r="19" spans="1:9" ht="13.5" thickBot="1">
      <c r="A19" s="31" t="s">
        <v>105</v>
      </c>
      <c r="B19" s="234">
        <f>SUM(B7,B8,B12,B13,B14,B16)/B17</f>
        <v>0.7646839536782607</v>
      </c>
      <c r="C19" s="234">
        <f>SUM(C7,C8,C12,C13,C14,C16)/C17</f>
        <v>0.77970030275857738</v>
      </c>
      <c r="D19" s="234">
        <f>SUM(D7,D8,D12,D13,D14,D16)/D17</f>
        <v>0.77970030275857738</v>
      </c>
      <c r="E19" s="234">
        <f>SUM(E7,E8,E12,E13,E14,E16)/E17</f>
        <v>0.78037918495407799</v>
      </c>
      <c r="F19" s="234">
        <f>SUM(F7,F8,F12,F13,F14,F16)/F17</f>
        <v>0.78037918495407799</v>
      </c>
    </row>
    <row r="21" spans="1:9" ht="13.5" thickTop="1">
      <c r="A21" s="66"/>
      <c r="B21" s="376" t="s">
        <v>106</v>
      </c>
      <c r="C21" s="376"/>
      <c r="D21" s="376"/>
      <c r="E21" s="376"/>
      <c r="F21" s="376"/>
      <c r="G21" s="377"/>
      <c r="I21" s="265"/>
    </row>
    <row r="22" spans="1:9">
      <c r="A22" s="56"/>
      <c r="B22" s="378" t="s">
        <v>107</v>
      </c>
      <c r="C22" s="378"/>
      <c r="D22" s="378"/>
      <c r="E22" s="378"/>
      <c r="F22" s="378"/>
      <c r="G22" s="379" t="s">
        <v>108</v>
      </c>
      <c r="I22" s="265"/>
    </row>
    <row r="23" spans="1:9" ht="13.5" thickBot="1">
      <c r="A23" s="56" t="s">
        <v>89</v>
      </c>
      <c r="B23" s="67" t="s">
        <v>49</v>
      </c>
      <c r="C23" s="67" t="s">
        <v>90</v>
      </c>
      <c r="D23" s="67" t="s">
        <v>91</v>
      </c>
      <c r="E23" s="67" t="s">
        <v>92</v>
      </c>
      <c r="F23" s="67" t="s">
        <v>93</v>
      </c>
      <c r="G23" s="68" t="s">
        <v>49</v>
      </c>
      <c r="I23" s="265"/>
    </row>
    <row r="24" spans="1:9" ht="13.5" thickTop="1">
      <c r="A24" s="19" t="s">
        <v>94</v>
      </c>
      <c r="B24" s="57">
        <f>'Consumo MP'!$O$39</f>
        <v>99894.8</v>
      </c>
      <c r="C24" s="57">
        <f>'Consumo MP'!$O$39</f>
        <v>99894.8</v>
      </c>
      <c r="D24" s="57">
        <f>'Consumo MP'!$O$39</f>
        <v>99894.8</v>
      </c>
      <c r="E24" s="57">
        <f>'Consumo MP'!$O$39</f>
        <v>99894.8</v>
      </c>
      <c r="F24" s="57">
        <f>'Consumo MP'!$O$39</f>
        <v>99894.8</v>
      </c>
      <c r="G24" s="57"/>
      <c r="I24" s="265"/>
    </row>
    <row r="25" spans="1:9">
      <c r="A25" s="23" t="s">
        <v>95</v>
      </c>
      <c r="B25" s="59">
        <f>$B$24*$B$8/$B$7</f>
        <v>5618.5714285714275</v>
      </c>
      <c r="C25" s="59">
        <f>$B$24*$B$8/$B$7</f>
        <v>5618.5714285714275</v>
      </c>
      <c r="D25" s="59">
        <f>$B$24*$B$8/$B$7</f>
        <v>5618.5714285714275</v>
      </c>
      <c r="E25" s="59">
        <f>$B$24*$B$8/$B$7</f>
        <v>5618.5714285714275</v>
      </c>
      <c r="F25" s="59">
        <f>$B$24*$B$8/$B$7</f>
        <v>5618.5714285714275</v>
      </c>
      <c r="G25" s="60"/>
    </row>
    <row r="26" spans="1:9">
      <c r="A26" s="23" t="s">
        <v>96</v>
      </c>
      <c r="B26" s="24"/>
      <c r="C26" s="24"/>
      <c r="D26" s="24"/>
      <c r="E26" s="24"/>
      <c r="F26" s="24"/>
      <c r="G26" s="41"/>
    </row>
    <row r="27" spans="1:9">
      <c r="A27" s="23" t="s">
        <v>97</v>
      </c>
      <c r="B27" s="59">
        <f>B24*B10/B7</f>
        <v>8380.7319125428567</v>
      </c>
      <c r="C27" s="59">
        <f>C24*C10/C7</f>
        <v>7651.9726158000003</v>
      </c>
      <c r="D27" s="59">
        <f>D24*D10/D7</f>
        <v>7651.9726158000003</v>
      </c>
      <c r="E27" s="59">
        <f>E24*E10/E7</f>
        <v>7521.5016270000015</v>
      </c>
      <c r="F27" s="59">
        <f>F24*F10/F7</f>
        <v>7521.5016270000015</v>
      </c>
      <c r="G27" s="60"/>
    </row>
    <row r="28" spans="1:9">
      <c r="A28" s="23" t="s">
        <v>98</v>
      </c>
      <c r="B28" s="59">
        <f>B24*B11/B7</f>
        <v>24130.28571428571</v>
      </c>
      <c r="C28" s="59">
        <f>C24*C11/C7</f>
        <v>22032</v>
      </c>
      <c r="D28" s="59">
        <f>D24*D11/D7</f>
        <v>22032</v>
      </c>
      <c r="E28" s="59">
        <f>E24*E11/E7</f>
        <v>22032</v>
      </c>
      <c r="F28" s="59">
        <f>F24*F11/F7</f>
        <v>22032</v>
      </c>
      <c r="G28" s="60"/>
    </row>
    <row r="29" spans="1:9">
      <c r="A29" s="23" t="s">
        <v>99</v>
      </c>
      <c r="B29" s="59">
        <f>B24*B12/B7</f>
        <v>4824.1490324999995</v>
      </c>
      <c r="C29" s="59">
        <f>C24*C12/C7</f>
        <v>4543.0553775000008</v>
      </c>
      <c r="D29" s="59">
        <f>D24*D12/D7</f>
        <v>4543.0553775000008</v>
      </c>
      <c r="E29" s="59">
        <f>E24*E12/E7</f>
        <v>4543.0553775000008</v>
      </c>
      <c r="F29" s="59">
        <f>F24*F12/F7</f>
        <v>4543.0553775000008</v>
      </c>
      <c r="G29" s="60"/>
    </row>
    <row r="30" spans="1:9">
      <c r="A30" s="23" t="s">
        <v>109</v>
      </c>
      <c r="B30" s="59">
        <f>0.95*C30</f>
        <v>75.627847826086949</v>
      </c>
      <c r="C30" s="59">
        <f>C24*C13/C7</f>
        <v>79.608260869565214</v>
      </c>
      <c r="D30" s="59">
        <f>D24*D13/D7</f>
        <v>79.608260869565214</v>
      </c>
      <c r="E30" s="59">
        <f>E24*E13/E7</f>
        <v>79.608260869565214</v>
      </c>
      <c r="F30" s="59">
        <f>F24*F13/F7</f>
        <v>79.608260869565214</v>
      </c>
      <c r="G30" s="60"/>
    </row>
    <row r="31" spans="1:9">
      <c r="A31" s="23" t="s">
        <v>110</v>
      </c>
      <c r="B31" s="59">
        <f>B24*B14/B7</f>
        <v>0</v>
      </c>
      <c r="C31" s="59">
        <f>C24*C14/C7</f>
        <v>0</v>
      </c>
      <c r="D31" s="59">
        <f>D24*D14/D7</f>
        <v>0</v>
      </c>
      <c r="E31" s="59">
        <f>E24*E14/E7</f>
        <v>0</v>
      </c>
      <c r="F31" s="59">
        <f>F24*F14/F7</f>
        <v>0</v>
      </c>
      <c r="G31" s="60"/>
    </row>
    <row r="32" spans="1:9">
      <c r="A32" s="23" t="s">
        <v>111</v>
      </c>
      <c r="B32" s="59">
        <f>B24*B15/B7</f>
        <v>3268.2145714285712</v>
      </c>
      <c r="C32" s="59">
        <f>C24*C15/C7</f>
        <v>2984.0219999999999</v>
      </c>
      <c r="D32" s="59">
        <f>D24*D15/D7</f>
        <v>2984.0219999999999</v>
      </c>
      <c r="E32" s="59">
        <f>E24*E15/E7</f>
        <v>2984.0219999999999</v>
      </c>
      <c r="F32" s="59">
        <f>F24*F15/F7</f>
        <v>2984.0219999999999</v>
      </c>
      <c r="G32" s="60"/>
    </row>
    <row r="33" spans="1:7">
      <c r="A33" s="23" t="s">
        <v>112</v>
      </c>
      <c r="B33" s="59">
        <f>B24*B16/B7</f>
        <v>5847.9833263731434</v>
      </c>
      <c r="C33" s="59">
        <f>C24*C16/C7</f>
        <v>5703.4183301667827</v>
      </c>
      <c r="D33" s="59">
        <f>D24*D16/D7</f>
        <v>5703.4183301667827</v>
      </c>
      <c r="E33" s="59">
        <f>E24*E16/E7</f>
        <v>5698.1994906147829</v>
      </c>
      <c r="F33" s="59">
        <f>F24*F16/F7</f>
        <v>5698.1994906147829</v>
      </c>
      <c r="G33" s="60"/>
    </row>
    <row r="34" spans="1:7">
      <c r="A34" s="31" t="s">
        <v>113</v>
      </c>
      <c r="B34" s="64">
        <f>SUM(B24:B33)</f>
        <v>152040.36383352781</v>
      </c>
      <c r="C34" s="64">
        <f>SUM(C24:C33)</f>
        <v>148507.44801290781</v>
      </c>
      <c r="D34" s="64">
        <f>SUM(D24:D33)</f>
        <v>148507.44801290781</v>
      </c>
      <c r="E34" s="64">
        <f>SUM(E24:E33)</f>
        <v>148371.75818455583</v>
      </c>
      <c r="F34" s="64">
        <f>SUM(F24:F33)</f>
        <v>148371.75818455583</v>
      </c>
      <c r="G34" s="65"/>
    </row>
    <row r="35" spans="1:7">
      <c r="A35" s="69"/>
      <c r="B35" s="70"/>
      <c r="C35" s="70"/>
      <c r="D35" s="70"/>
      <c r="E35" s="70"/>
      <c r="F35" s="70"/>
      <c r="G35" s="70"/>
    </row>
    <row r="36" spans="1:7">
      <c r="A36" s="33"/>
      <c r="B36" s="71" t="s">
        <v>114</v>
      </c>
      <c r="C36" s="71"/>
      <c r="D36" s="71"/>
      <c r="E36" s="71"/>
      <c r="F36" s="72"/>
    </row>
    <row r="37" spans="1:7">
      <c r="A37" s="31"/>
      <c r="B37" s="67" t="s">
        <v>49</v>
      </c>
      <c r="C37" s="67" t="s">
        <v>90</v>
      </c>
      <c r="D37" s="67" t="s">
        <v>91</v>
      </c>
      <c r="E37" s="67" t="s">
        <v>92</v>
      </c>
      <c r="F37" s="18" t="s">
        <v>93</v>
      </c>
      <c r="G37" s="70"/>
    </row>
    <row r="38" spans="1:7">
      <c r="A38" s="37" t="s">
        <v>103</v>
      </c>
      <c r="B38" s="57">
        <f>B17</f>
        <v>13882603.896520592</v>
      </c>
      <c r="C38" s="57">
        <f>C17</f>
        <v>14828887.658433635</v>
      </c>
      <c r="D38" s="57">
        <f>D17</f>
        <v>14828887.658433635</v>
      </c>
      <c r="E38" s="57">
        <f>E17</f>
        <v>14815318.675598433</v>
      </c>
      <c r="F38" s="57">
        <f>F17</f>
        <v>14815318.675598433</v>
      </c>
      <c r="G38" s="70"/>
    </row>
    <row r="39" spans="1:7">
      <c r="A39" s="23" t="s">
        <v>115</v>
      </c>
      <c r="B39" s="59"/>
      <c r="C39" s="59"/>
      <c r="D39" s="59"/>
      <c r="E39" s="59"/>
      <c r="F39" s="41"/>
      <c r="G39" s="70"/>
    </row>
    <row r="40" spans="1:7">
      <c r="A40" s="23" t="s">
        <v>116</v>
      </c>
      <c r="B40" s="59">
        <v>0</v>
      </c>
      <c r="C40" s="59">
        <v>0</v>
      </c>
      <c r="D40" s="59">
        <v>0</v>
      </c>
      <c r="E40" s="59">
        <v>0</v>
      </c>
      <c r="F40" s="59">
        <v>0</v>
      </c>
      <c r="G40" s="267"/>
    </row>
    <row r="41" spans="1:7">
      <c r="A41" s="23" t="s">
        <v>117</v>
      </c>
      <c r="B41" s="59">
        <f>B34</f>
        <v>152040.36383352781</v>
      </c>
      <c r="C41" s="59">
        <f>C34</f>
        <v>148507.44801290781</v>
      </c>
      <c r="D41" s="59">
        <f t="shared" ref="D41:F41" si="0">D34</f>
        <v>148507.44801290781</v>
      </c>
      <c r="E41" s="59">
        <f t="shared" si="0"/>
        <v>148371.75818455583</v>
      </c>
      <c r="F41" s="59">
        <f t="shared" si="0"/>
        <v>148371.75818455583</v>
      </c>
      <c r="G41" s="70"/>
    </row>
    <row r="42" spans="1:7">
      <c r="A42" s="21" t="s">
        <v>118</v>
      </c>
      <c r="B42" s="59">
        <f>B38-(B40+B41)</f>
        <v>13730563.532687064</v>
      </c>
      <c r="C42" s="59">
        <f>C38-(C40+C41)</f>
        <v>14680380.210420728</v>
      </c>
      <c r="D42" s="59">
        <f>D38-(D40+D41)</f>
        <v>14680380.210420728</v>
      </c>
      <c r="E42" s="59">
        <f>E38-(E40+E41)</f>
        <v>14666946.917413877</v>
      </c>
      <c r="F42" s="59">
        <f>F38-(F40+F41)</f>
        <v>14666946.917413877</v>
      </c>
      <c r="G42" s="70"/>
    </row>
    <row r="43" spans="1:7">
      <c r="A43" s="63" t="s">
        <v>119</v>
      </c>
      <c r="B43" s="73">
        <f>B42/'Cuadro resumen'!F5</f>
        <v>649.81370244614595</v>
      </c>
      <c r="C43" s="73">
        <f>C42/'Cuadro resumen'!G5</f>
        <v>611.68250876753029</v>
      </c>
      <c r="D43" s="73">
        <f>D42/'Cuadro resumen'!G5</f>
        <v>611.68250876753029</v>
      </c>
      <c r="E43" s="73">
        <f>E42/'Cuadro resumen'!G5</f>
        <v>611.12278822557823</v>
      </c>
      <c r="F43" s="73">
        <f>F42/'Cuadro resumen'!G5</f>
        <v>611.12278822557823</v>
      </c>
      <c r="G43" s="268"/>
    </row>
    <row r="44" spans="1:7">
      <c r="A44" s="63"/>
      <c r="B44" s="73"/>
      <c r="C44" s="73"/>
      <c r="D44" s="73"/>
      <c r="E44" s="73"/>
      <c r="F44" s="74"/>
      <c r="G44" s="70"/>
    </row>
    <row r="45" spans="1:7">
      <c r="A45" s="63" t="s">
        <v>104</v>
      </c>
      <c r="B45" s="380">
        <f>SUM(B11,B10,B15,B27,B28,B40,B32)/B42</f>
        <v>0.24052754178050439</v>
      </c>
      <c r="C45" s="380">
        <f>SUM(C11,C10,C15,C27,C28,C40,C32)/C42</f>
        <v>0.22475354240850687</v>
      </c>
      <c r="D45" s="380">
        <f t="shared" ref="D45:F45" si="1">SUM(D11,D10,D15,D27,D28,D40,D32)/D42</f>
        <v>0.22475354240850687</v>
      </c>
      <c r="E45" s="380">
        <f t="shared" si="1"/>
        <v>0.22406093816465858</v>
      </c>
      <c r="F45" s="380">
        <f t="shared" si="1"/>
        <v>0.22406093816465858</v>
      </c>
      <c r="G45" s="267"/>
    </row>
    <row r="46" spans="1:7" ht="13.5" thickBot="1">
      <c r="A46" s="31" t="s">
        <v>105</v>
      </c>
      <c r="B46" s="380">
        <f>1-B45</f>
        <v>0.75947245821949561</v>
      </c>
      <c r="C46" s="380">
        <f t="shared" ref="C46:F46" si="2">C19</f>
        <v>0.77970030275857738</v>
      </c>
      <c r="D46" s="380">
        <f t="shared" si="2"/>
        <v>0.77970030275857738</v>
      </c>
      <c r="E46" s="380">
        <f t="shared" si="2"/>
        <v>0.78037918495407799</v>
      </c>
      <c r="F46" s="380">
        <f t="shared" si="2"/>
        <v>0.78037918495407799</v>
      </c>
      <c r="G46" s="267"/>
    </row>
    <row r="47" spans="1:7" ht="13.5" thickTop="1"/>
    <row r="49" spans="1:7">
      <c r="A49" s="29"/>
      <c r="B49" s="249" t="s">
        <v>120</v>
      </c>
      <c r="C49" s="249"/>
      <c r="D49" s="249"/>
      <c r="E49" s="249"/>
      <c r="F49" s="250"/>
    </row>
    <row r="50" spans="1:7">
      <c r="A50" s="77" t="s">
        <v>89</v>
      </c>
      <c r="B50" s="17" t="s">
        <v>49</v>
      </c>
      <c r="C50" s="17" t="s">
        <v>90</v>
      </c>
      <c r="D50" s="17" t="s">
        <v>91</v>
      </c>
      <c r="E50" s="17" t="s">
        <v>92</v>
      </c>
      <c r="F50" s="18" t="s">
        <v>93</v>
      </c>
    </row>
    <row r="51" spans="1:7">
      <c r="A51" s="66" t="s">
        <v>121</v>
      </c>
      <c r="B51" s="78">
        <f>0.9*(SUM(Salarios!C3,Salarios!C4))</f>
        <v>615600</v>
      </c>
      <c r="C51" s="78">
        <f>SUM(Salarios!C3,Salarios!C4)</f>
        <v>684000</v>
      </c>
      <c r="D51" s="78">
        <f>C51</f>
        <v>684000</v>
      </c>
      <c r="E51" s="78">
        <f>D51</f>
        <v>684000</v>
      </c>
      <c r="F51" s="78">
        <f>E51</f>
        <v>684000</v>
      </c>
      <c r="G51" s="265"/>
    </row>
    <row r="52" spans="1:7">
      <c r="A52" s="23" t="s">
        <v>122</v>
      </c>
      <c r="B52" s="59">
        <f>0.05*'E-Inv AF y Am'!D56</f>
        <v>42510.958976666676</v>
      </c>
      <c r="C52" s="59">
        <f>B52</f>
        <v>42510.958976666676</v>
      </c>
      <c r="D52" s="59">
        <f>C52</f>
        <v>42510.958976666676</v>
      </c>
      <c r="E52" s="59">
        <f>0.05*'E-Inv AF y Am'!E56</f>
        <v>41786.120150000002</v>
      </c>
      <c r="F52" s="41">
        <f>E52</f>
        <v>41786.120150000002</v>
      </c>
    </row>
    <row r="53" spans="1:7">
      <c r="A53" s="23" t="s">
        <v>99</v>
      </c>
      <c r="B53" s="59">
        <f>0.9*C53</f>
        <v>146526.22524164629</v>
      </c>
      <c r="C53" s="59">
        <f>0.05*'E-Inv AF y Am'!B51*0.015+0.01*AVERAGE(B42:F42)</f>
        <v>162806.91693516253</v>
      </c>
      <c r="D53" s="59">
        <f>0.05*'E-Inv AF y Am'!B51*0.015+0.01*AVERAGE(B42:F42)</f>
        <v>162806.91693516253</v>
      </c>
      <c r="E53" s="59">
        <f>0.05*'E-Inv AF y Am'!B51*0.015+0.01*AVERAGE(B42:F42)</f>
        <v>162806.91693516253</v>
      </c>
      <c r="F53" s="59">
        <f>0.05*'E-Inv AF y Am'!B51*0.015+0.01*AVERAGE(B42:F42)</f>
        <v>162806.91693516253</v>
      </c>
    </row>
    <row r="54" spans="1:7">
      <c r="A54" s="23" t="s">
        <v>123</v>
      </c>
      <c r="B54" s="59">
        <v>0</v>
      </c>
      <c r="C54" s="59">
        <v>0</v>
      </c>
      <c r="D54" s="59">
        <v>0</v>
      </c>
      <c r="E54" s="59">
        <v>0</v>
      </c>
      <c r="F54" s="59">
        <v>0</v>
      </c>
    </row>
    <row r="55" spans="1:7">
      <c r="A55" s="23" t="s">
        <v>124</v>
      </c>
      <c r="B55" s="59">
        <v>0</v>
      </c>
      <c r="C55" s="59">
        <v>0</v>
      </c>
      <c r="D55" s="59">
        <v>0</v>
      </c>
      <c r="E55" s="59">
        <v>0</v>
      </c>
      <c r="F55" s="59">
        <v>0</v>
      </c>
    </row>
    <row r="56" spans="1:7">
      <c r="A56" s="23" t="s">
        <v>125</v>
      </c>
      <c r="B56" s="59">
        <v>50000</v>
      </c>
      <c r="C56" s="59">
        <v>50000</v>
      </c>
      <c r="D56" s="59">
        <v>50000</v>
      </c>
      <c r="E56" s="59">
        <v>50000</v>
      </c>
      <c r="F56" s="59">
        <v>50000</v>
      </c>
    </row>
    <row r="57" spans="1:7">
      <c r="A57" s="23" t="s">
        <v>102</v>
      </c>
      <c r="B57" s="59">
        <f>0.05*0.008*(SUM('E-Inv AF y Am'!B7,'E-Inv AF y Am'!B8)+SUM('E-Inv AF y Am'!B7,'E-Inv AF y Am'!B8)*0.01*0.05)</f>
        <v>7254.0252</v>
      </c>
      <c r="C57" s="59">
        <f>B57</f>
        <v>7254.0252</v>
      </c>
      <c r="D57" s="59">
        <f>C57</f>
        <v>7254.0252</v>
      </c>
      <c r="E57" s="59">
        <f>D57</f>
        <v>7254.0252</v>
      </c>
      <c r="F57" s="59">
        <f>E57</f>
        <v>7254.0252</v>
      </c>
    </row>
    <row r="58" spans="1:7">
      <c r="A58" s="23" t="s">
        <v>15</v>
      </c>
      <c r="B58" s="59">
        <f>InfoInicial!$B$15*SUM('E-Costos'!B51:B57)</f>
        <v>34475.648376732519</v>
      </c>
      <c r="C58" s="59">
        <f>InfoInicial!$B$15*SUM('E-Costos'!C51:C57)</f>
        <v>37862.876044473167</v>
      </c>
      <c r="D58" s="59">
        <f>InfoInicial!$B$15*SUM('E-Costos'!D51:D57)</f>
        <v>37862.876044473167</v>
      </c>
      <c r="E58" s="59">
        <f>InfoInicial!$B$15*SUM('E-Costos'!E51:E57)</f>
        <v>37833.882491406504</v>
      </c>
      <c r="F58" s="59">
        <f>InfoInicial!$B$15*SUM('E-Costos'!F51:F57)</f>
        <v>37833.882491406504</v>
      </c>
    </row>
    <row r="59" spans="1:7">
      <c r="A59" s="23"/>
      <c r="B59" s="43"/>
      <c r="C59" s="43"/>
      <c r="D59" s="43"/>
      <c r="E59" s="43"/>
      <c r="F59" s="46"/>
    </row>
    <row r="60" spans="1:7">
      <c r="A60" s="21" t="s">
        <v>126</v>
      </c>
      <c r="B60" s="59">
        <f>SUM(B51:B58)</f>
        <v>896366.85779504548</v>
      </c>
      <c r="C60" s="59">
        <f>SUM(C51:C58)</f>
        <v>984434.77715630236</v>
      </c>
      <c r="D60" s="59">
        <f>SUM(D51:D58)</f>
        <v>984434.77715630236</v>
      </c>
      <c r="E60" s="59">
        <f>SUM(E51:E58)</f>
        <v>983680.94477656903</v>
      </c>
      <c r="F60" s="59">
        <f>SUM(F51:F58)</f>
        <v>983680.94477656903</v>
      </c>
    </row>
    <row r="61" spans="1:7">
      <c r="A61" s="21"/>
      <c r="B61" s="80"/>
      <c r="C61" s="80"/>
      <c r="D61" s="80"/>
      <c r="E61" s="80"/>
      <c r="F61" s="81"/>
      <c r="G61" s="70"/>
    </row>
    <row r="62" spans="1:7">
      <c r="A62" s="63" t="s">
        <v>104</v>
      </c>
      <c r="B62" s="235">
        <f>SUM(B51,B52,B53,B54,B55:B56,B57,B58)/B60</f>
        <v>1</v>
      </c>
      <c r="C62" s="235">
        <f>SUM(C51,C52,C53,C54,C55:C56,C57,C58)/C60</f>
        <v>1</v>
      </c>
      <c r="D62" s="235">
        <f>SUM(D51,D52,D53,D54,D55:D56,D57,D58)/D60</f>
        <v>1</v>
      </c>
      <c r="E62" s="235">
        <f>SUM(E51,E52,E53,E54,E55:E56,E57,E58)/E60</f>
        <v>1</v>
      </c>
      <c r="F62" s="235">
        <f>SUM(F51,F52,F53,F54,F55:F56,F57,F58)/F60</f>
        <v>1</v>
      </c>
      <c r="G62" s="70"/>
    </row>
    <row r="63" spans="1:7">
      <c r="A63" s="31" t="s">
        <v>105</v>
      </c>
      <c r="B63" s="253">
        <v>0</v>
      </c>
      <c r="C63" s="253">
        <v>0</v>
      </c>
      <c r="D63" s="253">
        <v>0</v>
      </c>
      <c r="E63" s="253">
        <v>0</v>
      </c>
      <c r="F63" s="253">
        <v>0</v>
      </c>
      <c r="G63" s="70"/>
    </row>
    <row r="66" spans="1:7">
      <c r="A66" s="29"/>
      <c r="B66" s="249" t="s">
        <v>127</v>
      </c>
      <c r="C66" s="249"/>
      <c r="D66" s="249"/>
      <c r="E66" s="249"/>
      <c r="F66" s="250"/>
    </row>
    <row r="67" spans="1:7">
      <c r="A67" s="77" t="s">
        <v>89</v>
      </c>
      <c r="B67" s="17" t="s">
        <v>49</v>
      </c>
      <c r="C67" s="17" t="s">
        <v>90</v>
      </c>
      <c r="D67" s="17" t="s">
        <v>91</v>
      </c>
      <c r="E67" s="17" t="s">
        <v>92</v>
      </c>
      <c r="F67" s="18" t="s">
        <v>93</v>
      </c>
    </row>
    <row r="68" spans="1:7">
      <c r="A68" s="19" t="s">
        <v>121</v>
      </c>
      <c r="B68" s="57">
        <f>SUM(Salarios!C2,Salarios!C8)*0.9</f>
        <v>918000</v>
      </c>
      <c r="C68" s="57">
        <f>SUM(Salarios!$C$2,Salarios!$C$8)</f>
        <v>1020000</v>
      </c>
      <c r="D68" s="57">
        <f>SUM(Salarios!$C$2,Salarios!$C$8)</f>
        <v>1020000</v>
      </c>
      <c r="E68" s="57">
        <f>SUM(Salarios!$C$2,Salarios!$C$8)</f>
        <v>1020000</v>
      </c>
      <c r="F68" s="57">
        <f>SUM(Salarios!$C$2,Salarios!$C$8)</f>
        <v>1020000</v>
      </c>
      <c r="G68" s="265"/>
    </row>
    <row r="69" spans="1:7">
      <c r="A69" s="23" t="s">
        <v>122</v>
      </c>
      <c r="B69" s="59">
        <f>B52</f>
        <v>42510.958976666676</v>
      </c>
      <c r="C69" s="59">
        <f>C52</f>
        <v>42510.958976666676</v>
      </c>
      <c r="D69" s="59">
        <f>D52</f>
        <v>42510.958976666676</v>
      </c>
      <c r="E69" s="59">
        <f>E52</f>
        <v>41786.120150000002</v>
      </c>
      <c r="F69" s="59">
        <f>F52</f>
        <v>41786.120150000002</v>
      </c>
    </row>
    <row r="70" spans="1:7">
      <c r="A70" s="23" t="s">
        <v>99</v>
      </c>
      <c r="B70" s="59">
        <f>0.05*0.015*'E-Inv AF y Am'!$F$20+0.01*B42</f>
        <v>155262.11668532065</v>
      </c>
      <c r="C70" s="59">
        <f>0.05*0.015*'E-Inv AF y Am'!$F$20+0.01*C42</f>
        <v>164760.28346265727</v>
      </c>
      <c r="D70" s="59">
        <f>0.05*0.015*'E-Inv AF y Am'!$F$20+0.01*D42</f>
        <v>164760.28346265727</v>
      </c>
      <c r="E70" s="59">
        <f>0.05*0.015*'E-Inv AF y Am'!$F$20+0.01*E42</f>
        <v>164625.95053258876</v>
      </c>
      <c r="F70" s="59">
        <f>0.05*0.015*'E-Inv AF y Am'!$F$20+0.01*F42</f>
        <v>164625.95053258876</v>
      </c>
    </row>
    <row r="71" spans="1:7">
      <c r="A71" s="23" t="s">
        <v>128</v>
      </c>
      <c r="B71" s="59">
        <f>B54</f>
        <v>0</v>
      </c>
      <c r="C71" s="59">
        <f>C54</f>
        <v>0</v>
      </c>
      <c r="D71" s="59">
        <f>D54</f>
        <v>0</v>
      </c>
      <c r="E71" s="59">
        <f>E54</f>
        <v>0</v>
      </c>
      <c r="F71" s="59">
        <f>F54</f>
        <v>0</v>
      </c>
    </row>
    <row r="72" spans="1:7">
      <c r="A72" s="23" t="s">
        <v>124</v>
      </c>
      <c r="B72" s="59">
        <v>0</v>
      </c>
      <c r="C72" s="59">
        <v>0</v>
      </c>
      <c r="D72" s="59">
        <v>0</v>
      </c>
      <c r="E72" s="59">
        <v>0</v>
      </c>
      <c r="F72" s="59">
        <v>0</v>
      </c>
    </row>
    <row r="73" spans="1:7">
      <c r="A73" s="23" t="s">
        <v>125</v>
      </c>
      <c r="B73" s="59">
        <f>15000*12+0.002*B42</f>
        <v>207461.12706537414</v>
      </c>
      <c r="C73" s="59">
        <f>15000*12+0.002*C42</f>
        <v>209360.76042084146</v>
      </c>
      <c r="D73" s="59">
        <f>15000*12+0.002*D42</f>
        <v>209360.76042084146</v>
      </c>
      <c r="E73" s="59">
        <f>15000*12+0.002*E42</f>
        <v>209333.89383482776</v>
      </c>
      <c r="F73" s="59">
        <f>15000*12+0.002*F42</f>
        <v>209333.89383482776</v>
      </c>
    </row>
    <row r="74" spans="1:7">
      <c r="A74" s="23" t="s">
        <v>102</v>
      </c>
      <c r="B74" s="59">
        <f>0.05*0.008*SUM('E-Inv AF y Am'!B7,'E-Inv AF y Am'!B8)+0.01*0.05*SUM('E-Inv AF y Am'!B7,'E-Inv AF y Am'!B8)+'Cuadro resumen'!F3*InfoInicial!B20*0.0275</f>
        <v>820595.13913043484</v>
      </c>
      <c r="C74" s="59">
        <f>0.05*0.008*SUM('E-Inv AF y Am'!B7,'E-Inv AF y Am'!B8)+0.01*0.05*SUM('E-Inv AF y Am'!B7,'E-Inv AF y Am'!B8)+'Cuadro resumen'!G3*InfoInicial!B20*0.0275</f>
        <v>940313.4</v>
      </c>
      <c r="D74" s="59">
        <f>C74</f>
        <v>940313.4</v>
      </c>
      <c r="E74" s="59">
        <f>D74</f>
        <v>940313.4</v>
      </c>
      <c r="F74" s="59">
        <f>E74</f>
        <v>940313.4</v>
      </c>
    </row>
    <row r="75" spans="1:7">
      <c r="A75" s="23" t="s">
        <v>15</v>
      </c>
      <c r="B75" s="59">
        <f>InfoInicial!$B$15*SUM(B68:B74)</f>
        <v>85753.173674311838</v>
      </c>
      <c r="C75" s="59">
        <f>InfoInicial!$B$15*SUM(C68:C74)</f>
        <v>95077.816114406625</v>
      </c>
      <c r="D75" s="59">
        <f>InfoInicial!$B$15*SUM(D68:D74)</f>
        <v>95077.816114406625</v>
      </c>
      <c r="E75" s="59">
        <f>InfoInicial!$B$15*SUM(E68:E74)</f>
        <v>95042.374580696676</v>
      </c>
      <c r="F75" s="59">
        <f>InfoInicial!$B$15*SUM(F68:F74)</f>
        <v>95042.374580696676</v>
      </c>
    </row>
    <row r="76" spans="1:7">
      <c r="A76" s="23"/>
      <c r="B76" s="43"/>
      <c r="C76" s="43"/>
      <c r="D76" s="43"/>
      <c r="E76" s="43"/>
      <c r="F76" s="46"/>
    </row>
    <row r="77" spans="1:7">
      <c r="A77" s="21" t="s">
        <v>129</v>
      </c>
      <c r="B77" s="59">
        <f>SUM(B68:B75)</f>
        <v>2229582.515532108</v>
      </c>
      <c r="C77" s="59">
        <f>SUM(C68:C75)</f>
        <v>2472023.2189745721</v>
      </c>
      <c r="D77" s="59">
        <f>SUM(D68:D75)</f>
        <v>2472023.2189745721</v>
      </c>
      <c r="E77" s="59">
        <f>SUM(E68:E75)</f>
        <v>2471101.7390981135</v>
      </c>
      <c r="F77" s="59">
        <f>SUM(F68:F75)</f>
        <v>2471101.7390981135</v>
      </c>
    </row>
    <row r="78" spans="1:7">
      <c r="A78" s="21"/>
      <c r="B78" s="80"/>
      <c r="C78" s="80"/>
      <c r="D78" s="80"/>
      <c r="E78" s="80"/>
      <c r="F78" s="81"/>
    </row>
    <row r="79" spans="1:7">
      <c r="A79" s="63" t="s">
        <v>104</v>
      </c>
      <c r="B79" s="82">
        <f>SUM(B69,B71,B72,B68)/B77</f>
        <v>0.43080305496001475</v>
      </c>
      <c r="C79" s="82">
        <f t="shared" ref="C79:F79" si="3">SUM(C69,C71,C72,C68)/C77</f>
        <v>0.42981431194542347</v>
      </c>
      <c r="D79" s="82">
        <f t="shared" si="3"/>
        <v>0.42981431194542347</v>
      </c>
      <c r="E79" s="82">
        <f t="shared" si="3"/>
        <v>0.42968126457534034</v>
      </c>
      <c r="F79" s="82">
        <f t="shared" si="3"/>
        <v>0.42968126457534034</v>
      </c>
    </row>
    <row r="80" spans="1:7">
      <c r="A80" s="31" t="s">
        <v>105</v>
      </c>
      <c r="B80" s="75">
        <f>SUM(B70,B73,B74,B75)/B77</f>
        <v>0.5691969450399853</v>
      </c>
      <c r="C80" s="75">
        <f t="shared" ref="C80:F80" si="4">SUM(C70,C73,C74,C75)/C77</f>
        <v>0.57018568805457637</v>
      </c>
      <c r="D80" s="75">
        <f t="shared" si="4"/>
        <v>0.57018568805457637</v>
      </c>
      <c r="E80" s="75">
        <f t="shared" si="4"/>
        <v>0.57031873542465961</v>
      </c>
      <c r="F80" s="75">
        <f t="shared" si="4"/>
        <v>0.57031873542465961</v>
      </c>
    </row>
    <row r="83" spans="1:6" ht="15.75">
      <c r="A83" s="84" t="s">
        <v>130</v>
      </c>
      <c r="B83" s="85"/>
      <c r="C83" s="85"/>
      <c r="D83" s="85"/>
      <c r="E83" s="85"/>
      <c r="F83" s="86"/>
    </row>
    <row r="84" spans="1:6">
      <c r="A84" s="23"/>
      <c r="B84" s="251" t="s">
        <v>49</v>
      </c>
      <c r="C84" s="251" t="s">
        <v>90</v>
      </c>
      <c r="D84" s="251" t="s">
        <v>91</v>
      </c>
      <c r="E84" s="251" t="s">
        <v>92</v>
      </c>
      <c r="F84" s="18" t="s">
        <v>93</v>
      </c>
    </row>
    <row r="85" spans="1:6">
      <c r="A85" s="23" t="s">
        <v>131</v>
      </c>
      <c r="B85" s="87">
        <f>'Cuadro resumen'!F3</f>
        <v>20890.434782608696</v>
      </c>
      <c r="C85" s="87">
        <f>'Cuadro resumen'!G3</f>
        <v>24000</v>
      </c>
      <c r="D85" s="87">
        <f>C85</f>
        <v>24000</v>
      </c>
      <c r="E85" s="87">
        <f>D85</f>
        <v>24000</v>
      </c>
      <c r="F85" s="87">
        <f>E85</f>
        <v>24000</v>
      </c>
    </row>
    <row r="86" spans="1:6">
      <c r="A86" s="23" t="s">
        <v>132</v>
      </c>
      <c r="B86" s="59">
        <f>InfoInicial!$B$20</f>
        <v>1400</v>
      </c>
      <c r="C86" s="59">
        <f>InfoInicial!$B$20</f>
        <v>1400</v>
      </c>
      <c r="D86" s="59">
        <f>InfoInicial!$B$20</f>
        <v>1400</v>
      </c>
      <c r="E86" s="59">
        <f>InfoInicial!$B$20</f>
        <v>1400</v>
      </c>
      <c r="F86" s="59">
        <f>InfoInicial!$B$20</f>
        <v>1400</v>
      </c>
    </row>
    <row r="87" spans="1:6">
      <c r="A87" s="21" t="s">
        <v>133</v>
      </c>
      <c r="B87" s="59">
        <f>B85*B86</f>
        <v>29246608.695652176</v>
      </c>
      <c r="C87" s="59">
        <f>C85*C86</f>
        <v>33600000</v>
      </c>
      <c r="D87" s="59">
        <f>D85*D86</f>
        <v>33600000</v>
      </c>
      <c r="E87" s="59">
        <f>E85*E86</f>
        <v>33600000</v>
      </c>
      <c r="F87" s="59">
        <f>F85*F86</f>
        <v>33600000</v>
      </c>
    </row>
    <row r="88" spans="1:6">
      <c r="A88" s="23"/>
      <c r="B88" s="80"/>
      <c r="C88" s="80"/>
      <c r="D88" s="80"/>
      <c r="E88" s="80"/>
      <c r="F88" s="81"/>
    </row>
    <row r="89" spans="1:6">
      <c r="A89" s="23" t="s">
        <v>134</v>
      </c>
      <c r="B89" s="59">
        <f t="shared" ref="B89:F90" si="5">B7</f>
        <v>9120829.5652173925</v>
      </c>
      <c r="C89" s="59">
        <f t="shared" si="5"/>
        <v>9989480</v>
      </c>
      <c r="D89" s="59">
        <f t="shared" si="5"/>
        <v>9989480</v>
      </c>
      <c r="E89" s="59">
        <f t="shared" si="5"/>
        <v>9989480</v>
      </c>
      <c r="F89" s="59">
        <f t="shared" si="5"/>
        <v>9989480</v>
      </c>
    </row>
    <row r="90" spans="1:6">
      <c r="A90" s="23" t="s">
        <v>95</v>
      </c>
      <c r="B90" s="59">
        <f t="shared" si="5"/>
        <v>513000</v>
      </c>
      <c r="C90" s="59">
        <f t="shared" si="5"/>
        <v>540000</v>
      </c>
      <c r="D90" s="59">
        <f t="shared" si="5"/>
        <v>540000</v>
      </c>
      <c r="E90" s="59">
        <f t="shared" si="5"/>
        <v>540000</v>
      </c>
      <c r="F90" s="59">
        <f t="shared" si="5"/>
        <v>540000</v>
      </c>
    </row>
    <row r="91" spans="1:6">
      <c r="A91" s="23" t="s">
        <v>135</v>
      </c>
      <c r="B91" s="59">
        <f>SUM(B10,16)</f>
        <v>765213.26158000005</v>
      </c>
      <c r="C91" s="59">
        <f t="shared" ref="C91:F91" si="6">SUM(C10,16)</f>
        <v>765213.26158000005</v>
      </c>
      <c r="D91" s="59">
        <f t="shared" si="6"/>
        <v>765213.26158000005</v>
      </c>
      <c r="E91" s="59">
        <f t="shared" si="6"/>
        <v>752166.1627000001</v>
      </c>
      <c r="F91" s="59">
        <f t="shared" si="6"/>
        <v>752166.1627000001</v>
      </c>
    </row>
    <row r="92" spans="1:6">
      <c r="A92" s="23"/>
      <c r="B92" s="80"/>
      <c r="C92" s="80"/>
      <c r="D92" s="80"/>
      <c r="E92" s="80"/>
      <c r="F92" s="81"/>
    </row>
    <row r="93" spans="1:6">
      <c r="A93" s="23" t="s">
        <v>136</v>
      </c>
      <c r="B93" s="89">
        <f>B17</f>
        <v>13882603.896520592</v>
      </c>
      <c r="C93" s="89">
        <f>C17</f>
        <v>14828887.658433635</v>
      </c>
      <c r="D93" s="89">
        <f>D17</f>
        <v>14828887.658433635</v>
      </c>
      <c r="E93" s="89">
        <f>E17</f>
        <v>14815318.675598433</v>
      </c>
      <c r="F93" s="89">
        <f>F17</f>
        <v>14815318.675598433</v>
      </c>
    </row>
    <row r="94" spans="1:6">
      <c r="A94" s="23"/>
      <c r="B94" s="80"/>
      <c r="C94" s="80"/>
      <c r="D94" s="80"/>
      <c r="E94" s="80"/>
      <c r="F94" s="81"/>
    </row>
    <row r="95" spans="1:6">
      <c r="A95" s="23" t="s">
        <v>115</v>
      </c>
      <c r="B95" s="80"/>
      <c r="C95" s="80"/>
      <c r="D95" s="80"/>
      <c r="E95" s="80"/>
      <c r="F95" s="81"/>
    </row>
    <row r="96" spans="1:6">
      <c r="A96" s="25" t="s">
        <v>108</v>
      </c>
      <c r="B96" s="59">
        <f t="shared" ref="B96:F97" si="7">B40</f>
        <v>0</v>
      </c>
      <c r="C96" s="59">
        <f t="shared" si="7"/>
        <v>0</v>
      </c>
      <c r="D96" s="59">
        <f t="shared" si="7"/>
        <v>0</v>
      </c>
      <c r="E96" s="59">
        <f t="shared" si="7"/>
        <v>0</v>
      </c>
      <c r="F96" s="59">
        <f t="shared" si="7"/>
        <v>0</v>
      </c>
    </row>
    <row r="97" spans="1:6">
      <c r="A97" s="25" t="s">
        <v>117</v>
      </c>
      <c r="B97" s="59">
        <f t="shared" si="7"/>
        <v>152040.36383352781</v>
      </c>
      <c r="C97" s="59">
        <f t="shared" si="7"/>
        <v>148507.44801290781</v>
      </c>
      <c r="D97" s="59">
        <f t="shared" si="7"/>
        <v>148507.44801290781</v>
      </c>
      <c r="E97" s="59">
        <f t="shared" si="7"/>
        <v>148371.75818455583</v>
      </c>
      <c r="F97" s="59">
        <f t="shared" si="7"/>
        <v>148371.75818455583</v>
      </c>
    </row>
    <row r="98" spans="1:6">
      <c r="A98" s="23"/>
      <c r="B98" s="80"/>
      <c r="C98" s="80"/>
      <c r="D98" s="80"/>
      <c r="E98" s="80"/>
      <c r="F98" s="81"/>
    </row>
    <row r="99" spans="1:6">
      <c r="A99" s="21" t="s">
        <v>137</v>
      </c>
      <c r="B99" s="59">
        <f>B93-B96-B97</f>
        <v>13730563.532687064</v>
      </c>
      <c r="C99" s="59">
        <f t="shared" ref="C99:F99" si="8">C93-C96-C97</f>
        <v>14680380.210420728</v>
      </c>
      <c r="D99" s="59">
        <f t="shared" si="8"/>
        <v>14680380.210420728</v>
      </c>
      <c r="E99" s="59">
        <f t="shared" si="8"/>
        <v>14666946.917413877</v>
      </c>
      <c r="F99" s="59">
        <f t="shared" si="8"/>
        <v>14666946.917413877</v>
      </c>
    </row>
    <row r="100" spans="1:6">
      <c r="A100" s="25" t="s">
        <v>138</v>
      </c>
      <c r="B100" s="236">
        <f>'Cuadro resumen'!F5</f>
        <v>21130</v>
      </c>
      <c r="C100" s="236">
        <f>C85</f>
        <v>24000</v>
      </c>
      <c r="D100" s="236">
        <f>D85</f>
        <v>24000</v>
      </c>
      <c r="E100" s="236">
        <f>E85</f>
        <v>24000</v>
      </c>
      <c r="F100" s="236">
        <f>F85</f>
        <v>24000</v>
      </c>
    </row>
    <row r="101" spans="1:6">
      <c r="A101" s="23" t="s">
        <v>139</v>
      </c>
      <c r="B101" s="59">
        <f>B99/B100</f>
        <v>649.81370244614595</v>
      </c>
      <c r="C101" s="59">
        <f>C99/C100</f>
        <v>611.68250876753029</v>
      </c>
      <c r="D101" s="59">
        <f>D99/D100</f>
        <v>611.68250876753029</v>
      </c>
      <c r="E101" s="59">
        <f>E99/E100</f>
        <v>611.12278822557823</v>
      </c>
      <c r="F101" s="59">
        <f>F99/F100</f>
        <v>611.12278822557823</v>
      </c>
    </row>
    <row r="102" spans="1:6">
      <c r="A102" s="23"/>
      <c r="B102" s="91"/>
      <c r="C102" s="91"/>
      <c r="D102" s="91"/>
      <c r="E102" s="91"/>
      <c r="F102" s="92"/>
    </row>
    <row r="103" spans="1:6">
      <c r="A103" s="23" t="s">
        <v>115</v>
      </c>
      <c r="B103" s="91"/>
      <c r="C103" s="91"/>
      <c r="D103" s="91"/>
      <c r="E103" s="91"/>
      <c r="F103" s="92"/>
    </row>
    <row r="104" spans="1:6">
      <c r="A104" s="23" t="s">
        <v>140</v>
      </c>
      <c r="B104" s="257">
        <f>((InfoInicial!B19/50)/2)*B86</f>
        <v>336000</v>
      </c>
      <c r="C104" s="59">
        <v>0</v>
      </c>
      <c r="D104" s="59">
        <v>0</v>
      </c>
      <c r="E104" s="59">
        <v>0</v>
      </c>
      <c r="F104" s="59">
        <v>0</v>
      </c>
    </row>
    <row r="105" spans="1:6">
      <c r="A105" s="23"/>
      <c r="B105" s="91"/>
      <c r="C105" s="91"/>
      <c r="D105" s="91"/>
      <c r="E105" s="91"/>
      <c r="F105" s="92"/>
    </row>
    <row r="106" spans="1:6">
      <c r="A106" s="21" t="s">
        <v>141</v>
      </c>
      <c r="B106" s="59">
        <f>B99-B104</f>
        <v>13394563.532687064</v>
      </c>
      <c r="C106" s="59">
        <f>C99-C104</f>
        <v>14680380.210420728</v>
      </c>
      <c r="D106" s="59">
        <f>D99-D104</f>
        <v>14680380.210420728</v>
      </c>
      <c r="E106" s="59">
        <f>E99-E104</f>
        <v>14666946.917413877</v>
      </c>
      <c r="F106" s="59">
        <f>F99-F104</f>
        <v>14666946.917413877</v>
      </c>
    </row>
    <row r="107" spans="1:6">
      <c r="A107" s="23"/>
      <c r="B107" s="80"/>
      <c r="C107" s="80"/>
      <c r="D107" s="80"/>
      <c r="E107" s="80"/>
      <c r="F107" s="81"/>
    </row>
    <row r="108" spans="1:6">
      <c r="A108" s="21" t="s">
        <v>142</v>
      </c>
      <c r="B108" s="59">
        <f>B60</f>
        <v>896366.85779504548</v>
      </c>
      <c r="C108" s="59">
        <f>C60</f>
        <v>984434.77715630236</v>
      </c>
      <c r="D108" s="59">
        <f>D60</f>
        <v>984434.77715630236</v>
      </c>
      <c r="E108" s="59">
        <f>E60</f>
        <v>983680.94477656903</v>
      </c>
      <c r="F108" s="59">
        <f>F60</f>
        <v>983680.94477656903</v>
      </c>
    </row>
    <row r="109" spans="1:6">
      <c r="A109" s="21" t="s">
        <v>143</v>
      </c>
      <c r="B109" s="89">
        <f>B77</f>
        <v>2229582.515532108</v>
      </c>
      <c r="C109" s="89">
        <f>C77</f>
        <v>2472023.2189745721</v>
      </c>
      <c r="D109" s="89">
        <f>D77</f>
        <v>2472023.2189745721</v>
      </c>
      <c r="E109" s="89">
        <f>E77</f>
        <v>2471101.7390981135</v>
      </c>
      <c r="F109" s="89">
        <f>F77</f>
        <v>2471101.7390981135</v>
      </c>
    </row>
    <row r="110" spans="1:6">
      <c r="A110" s="23"/>
      <c r="B110" s="91"/>
      <c r="C110" s="91"/>
      <c r="D110" s="91"/>
      <c r="E110" s="91"/>
      <c r="F110" s="92"/>
    </row>
    <row r="111" spans="1:6">
      <c r="A111" s="21" t="s">
        <v>144</v>
      </c>
      <c r="B111" s="89">
        <f>B106+(B108+B109)</f>
        <v>16520512.906014219</v>
      </c>
      <c r="C111" s="89">
        <f>C106+(C108+C109)</f>
        <v>18136838.206551604</v>
      </c>
      <c r="D111" s="89">
        <f>D106+(D108+D109)</f>
        <v>18136838.206551604</v>
      </c>
      <c r="E111" s="89">
        <f>E106+(E108+E109)</f>
        <v>18121729.601288561</v>
      </c>
      <c r="F111" s="89">
        <f>F106+(F108+F109)</f>
        <v>18121729.601288561</v>
      </c>
    </row>
    <row r="112" spans="1:6">
      <c r="A112" s="23"/>
      <c r="B112" s="91"/>
      <c r="C112" s="91"/>
      <c r="D112" s="91"/>
      <c r="E112" s="91"/>
      <c r="F112" s="92"/>
    </row>
    <row r="113" spans="1:6">
      <c r="A113" s="21" t="s">
        <v>145</v>
      </c>
      <c r="B113" s="89">
        <f>B111/B85</f>
        <v>790.8170929868611</v>
      </c>
      <c r="C113" s="89">
        <f>C111/C85</f>
        <v>755.70159193965014</v>
      </c>
      <c r="D113" s="89">
        <f>D111/D85</f>
        <v>755.70159193965014</v>
      </c>
      <c r="E113" s="89">
        <f>E111/E85</f>
        <v>755.0720667203567</v>
      </c>
      <c r="F113" s="89">
        <f>F111/F85</f>
        <v>755.0720667203567</v>
      </c>
    </row>
    <row r="114" spans="1:6">
      <c r="A114" s="23"/>
      <c r="B114" s="91"/>
      <c r="C114" s="91"/>
      <c r="D114" s="91"/>
      <c r="E114" s="91"/>
      <c r="F114" s="92"/>
    </row>
    <row r="115" spans="1:6">
      <c r="A115" s="21" t="s">
        <v>146</v>
      </c>
      <c r="B115" s="89">
        <f>B87-B111</f>
        <v>12726095.789637957</v>
      </c>
      <c r="C115" s="89">
        <f>C87-C111</f>
        <v>15463161.793448396</v>
      </c>
      <c r="D115" s="89">
        <f>D87-D111</f>
        <v>15463161.793448396</v>
      </c>
      <c r="E115" s="89">
        <f>E87-E111</f>
        <v>15478270.398711439</v>
      </c>
      <c r="F115" s="89">
        <f>F87-F111</f>
        <v>15478270.398711439</v>
      </c>
    </row>
    <row r="116" spans="1:6">
      <c r="A116" s="21" t="s">
        <v>3</v>
      </c>
      <c r="B116" s="89">
        <f>InfoInicial!$B$5*B115</f>
        <v>381782.87368913868</v>
      </c>
      <c r="C116" s="89">
        <f>InfoInicial!$B$5*C115</f>
        <v>463894.85380345187</v>
      </c>
      <c r="D116" s="89">
        <f>InfoInicial!$B$5*D115</f>
        <v>463894.85380345187</v>
      </c>
      <c r="E116" s="89">
        <f>InfoInicial!$B$5*E115</f>
        <v>464348.11196134315</v>
      </c>
      <c r="F116" s="89">
        <f>InfoInicial!$B$5*F115</f>
        <v>464348.11196134315</v>
      </c>
    </row>
    <row r="117" spans="1:6">
      <c r="A117" s="42" t="s">
        <v>147</v>
      </c>
      <c r="B117" s="89">
        <f>(B115-B116)*InfoInicial!$B$4</f>
        <v>4320509.5205820855</v>
      </c>
      <c r="C117" s="89">
        <f>(C115-C116)*InfoInicial!$B$4</f>
        <v>5249743.4288757304</v>
      </c>
      <c r="D117" s="89">
        <f>(D115-D116)*InfoInicial!$B$4</f>
        <v>5249743.4288757304</v>
      </c>
      <c r="E117" s="89">
        <f>(E115-E116)*InfoInicial!$B$4</f>
        <v>5254872.8003625339</v>
      </c>
      <c r="F117" s="89">
        <f>(F115-F116)*InfoInicial!$B$4</f>
        <v>5254872.8003625339</v>
      </c>
    </row>
    <row r="118" spans="1:6">
      <c r="A118" s="21"/>
      <c r="B118" s="91"/>
      <c r="C118" s="91"/>
      <c r="D118" s="91"/>
      <c r="E118" s="91"/>
      <c r="F118" s="92"/>
    </row>
    <row r="119" spans="1:6">
      <c r="A119" s="42" t="s">
        <v>148</v>
      </c>
      <c r="B119" s="89">
        <f>B115-B116-B117</f>
        <v>8023803.395366732</v>
      </c>
      <c r="C119" s="89">
        <f>C115-C116-C117</f>
        <v>9749523.5107692145</v>
      </c>
      <c r="D119" s="89">
        <f>D115-D116-D117</f>
        <v>9749523.5107692145</v>
      </c>
      <c r="E119" s="89">
        <f>E115-E116-E117</f>
        <v>9759049.486387562</v>
      </c>
      <c r="F119" s="89">
        <f>F115-F116-F117</f>
        <v>9759049.486387562</v>
      </c>
    </row>
    <row r="120" spans="1:6">
      <c r="A120" s="21" t="s">
        <v>149</v>
      </c>
      <c r="B120" s="93">
        <f>B119/B87</f>
        <v>0.2743498734798458</v>
      </c>
      <c r="C120" s="93">
        <f>C119/C87</f>
        <v>0.29016439020146473</v>
      </c>
      <c r="D120" s="93">
        <f>D119/D87</f>
        <v>0.29016439020146473</v>
      </c>
      <c r="E120" s="93">
        <f>E119/E87</f>
        <v>0.29044790138058219</v>
      </c>
      <c r="F120" s="93">
        <f>F119/F87</f>
        <v>0.29044790138058219</v>
      </c>
    </row>
    <row r="121" spans="1:6">
      <c r="A121" s="21"/>
      <c r="B121" s="95"/>
      <c r="C121" s="95"/>
      <c r="D121" s="95"/>
      <c r="E121" s="95"/>
      <c r="F121" s="96"/>
    </row>
    <row r="122" spans="1:6">
      <c r="A122" s="21" t="s">
        <v>150</v>
      </c>
      <c r="B122" s="93"/>
      <c r="C122" s="93"/>
      <c r="D122" s="93"/>
      <c r="E122" s="93"/>
      <c r="F122" s="94"/>
    </row>
    <row r="123" spans="1:6">
      <c r="A123" s="42" t="s">
        <v>151</v>
      </c>
      <c r="B123" s="237">
        <f>B119</f>
        <v>8023803.395366732</v>
      </c>
      <c r="C123" s="237">
        <f>C119</f>
        <v>9749523.5107692145</v>
      </c>
      <c r="D123" s="237">
        <f>D119</f>
        <v>9749523.5107692145</v>
      </c>
      <c r="E123" s="237">
        <f>E119</f>
        <v>9759049.486387562</v>
      </c>
      <c r="F123" s="237">
        <f>F119</f>
        <v>9759049.486387562</v>
      </c>
    </row>
    <row r="124" spans="1:6">
      <c r="A124" s="21" t="s">
        <v>152</v>
      </c>
      <c r="B124" s="238">
        <f>SUM(B10,B52,B69)</f>
        <v>850219.1795333334</v>
      </c>
      <c r="C124" s="238">
        <f>SUM(C10,C52,C69)</f>
        <v>850219.1795333334</v>
      </c>
      <c r="D124" s="238">
        <f>SUM(D10,D52,D69)</f>
        <v>850219.1795333334</v>
      </c>
      <c r="E124" s="238">
        <f>SUM(E10,E52,E69)</f>
        <v>835722.40300000005</v>
      </c>
      <c r="F124" s="238">
        <f>SUM(F10,F52,F69)</f>
        <v>835722.40300000005</v>
      </c>
    </row>
    <row r="125" spans="1:6">
      <c r="A125" s="31" t="s">
        <v>153</v>
      </c>
      <c r="B125" s="239">
        <f>B123+B124</f>
        <v>8874022.5749000646</v>
      </c>
      <c r="C125" s="239">
        <f>C123+C124</f>
        <v>10599742.690302547</v>
      </c>
      <c r="D125" s="239">
        <f>D123+D124</f>
        <v>10599742.690302547</v>
      </c>
      <c r="E125" s="239">
        <f>E123+E124</f>
        <v>10594771.889387563</v>
      </c>
      <c r="F125" s="239">
        <f>F123+F124</f>
        <v>10594771.889387563</v>
      </c>
    </row>
    <row r="126" spans="1:6">
      <c r="A126" s="21"/>
      <c r="B126" s="26"/>
      <c r="C126" s="26"/>
      <c r="D126" s="26"/>
      <c r="E126" s="26"/>
      <c r="F126" s="97"/>
    </row>
    <row r="127" spans="1:6">
      <c r="A127" s="21" t="s">
        <v>154</v>
      </c>
      <c r="B127" s="24">
        <f>B17*B18</f>
        <v>3266799.4615800004</v>
      </c>
      <c r="C127" s="24">
        <f>C17*C18</f>
        <v>3266799.4615800004</v>
      </c>
      <c r="D127" s="24">
        <f>D17*D18</f>
        <v>3266799.4615800004</v>
      </c>
      <c r="E127" s="24">
        <f>E17*E18</f>
        <v>3253752.3627000004</v>
      </c>
      <c r="F127" s="24">
        <f>F17*F18</f>
        <v>3253752.3627000004</v>
      </c>
    </row>
    <row r="128" spans="1:6">
      <c r="A128" s="42" t="s">
        <v>155</v>
      </c>
      <c r="B128" s="24">
        <f>B17*B19</f>
        <v>10615804.434940593</v>
      </c>
      <c r="C128" s="24">
        <f>C17*C19</f>
        <v>11562088.196853636</v>
      </c>
      <c r="D128" s="24">
        <f>D17*D19</f>
        <v>11562088.196853636</v>
      </c>
      <c r="E128" s="24">
        <f>E17*E19</f>
        <v>11561566.312898435</v>
      </c>
      <c r="F128" s="24">
        <f>F17*F19</f>
        <v>11561566.312898435</v>
      </c>
    </row>
    <row r="129" spans="1:14">
      <c r="A129" s="21" t="s">
        <v>156</v>
      </c>
      <c r="B129" s="24">
        <f>B60*B62</f>
        <v>896366.85779504548</v>
      </c>
      <c r="C129" s="24">
        <f>C60*C62</f>
        <v>984434.77715630236</v>
      </c>
      <c r="D129" s="24">
        <f>D60*D62</f>
        <v>984434.77715630236</v>
      </c>
      <c r="E129" s="24">
        <f>E60*E62</f>
        <v>983680.94477656903</v>
      </c>
      <c r="F129" s="24">
        <f>F60*F62</f>
        <v>983680.94477656903</v>
      </c>
    </row>
    <row r="130" spans="1:14">
      <c r="A130" s="42" t="s">
        <v>157</v>
      </c>
      <c r="B130" s="24">
        <f>B60*B63</f>
        <v>0</v>
      </c>
      <c r="C130" s="24">
        <f>C60*C63</f>
        <v>0</v>
      </c>
      <c r="D130" s="24">
        <f>D60*D63</f>
        <v>0</v>
      </c>
      <c r="E130" s="24">
        <f>E60*E63</f>
        <v>0</v>
      </c>
      <c r="F130" s="24">
        <f>F60*F63</f>
        <v>0</v>
      </c>
    </row>
    <row r="131" spans="1:14">
      <c r="A131" s="21" t="s">
        <v>158</v>
      </c>
      <c r="B131" s="24">
        <f>B77*B79</f>
        <v>960510.95897666668</v>
      </c>
      <c r="C131" s="24">
        <f>C77*C79</f>
        <v>1062510.9589766667</v>
      </c>
      <c r="D131" s="24">
        <f>D77*D79</f>
        <v>1062510.9589766667</v>
      </c>
      <c r="E131" s="24">
        <f>E77*E79</f>
        <v>1061786.1201500001</v>
      </c>
      <c r="F131" s="24">
        <f>F77*F79</f>
        <v>1061786.1201500001</v>
      </c>
    </row>
    <row r="132" spans="1:14">
      <c r="A132" s="42" t="s">
        <v>159</v>
      </c>
      <c r="B132" s="24">
        <f>B77*B80</f>
        <v>1269071.5565554416</v>
      </c>
      <c r="C132" s="24">
        <f>C77*C80</f>
        <v>1409512.2599979052</v>
      </c>
      <c r="D132" s="24">
        <f>D77*D80</f>
        <v>1409512.2599979052</v>
      </c>
      <c r="E132" s="24">
        <f>E77*E80</f>
        <v>1409315.6189481132</v>
      </c>
      <c r="F132" s="24">
        <f>F77*F80</f>
        <v>1409315.6189481132</v>
      </c>
    </row>
    <row r="133" spans="1:14">
      <c r="A133" s="21" t="s">
        <v>160</v>
      </c>
      <c r="B133" s="24">
        <f>B87-B128-B130-B132</f>
        <v>17361732.704156138</v>
      </c>
      <c r="C133" s="24">
        <f>C87-C128-C130-C132</f>
        <v>20628399.543148458</v>
      </c>
      <c r="D133" s="24">
        <f>D87-D128-D130-D132</f>
        <v>20628399.543148458</v>
      </c>
      <c r="E133" s="24">
        <f>E87-E128-E130-E132</f>
        <v>20629118.068153452</v>
      </c>
      <c r="F133" s="24">
        <f>F87-F128-F130-F132</f>
        <v>20629118.068153452</v>
      </c>
    </row>
    <row r="134" spans="1:14">
      <c r="A134" s="31" t="s">
        <v>161</v>
      </c>
      <c r="B134" s="254">
        <f>((B127+B129+B131)/(B86-(B128+B130+B132)/B85))/B85</f>
        <v>0.29511324506943826</v>
      </c>
      <c r="C134" s="254">
        <f>((C127+C129+C131)/(C86-(C128+C130+C132)/C85))/C85</f>
        <v>0.25759367257737081</v>
      </c>
      <c r="D134" s="254">
        <f>((D127+D129+D131)/(D86-(D128+D130+D132)/D85))/D85</f>
        <v>0.25759367257737081</v>
      </c>
      <c r="E134" s="254">
        <f>((E127+E129+E131)/(E86-(E128+E130+E132)/E85))/E85</f>
        <v>0.2568805612590549</v>
      </c>
      <c r="F134" s="254">
        <f>((F127+F129+F131)/(F86-(F128+F130+F132)/F85))/F85</f>
        <v>0.2568805612590549</v>
      </c>
    </row>
    <row r="135" spans="1:14" ht="15.75">
      <c r="A135" s="98" t="s">
        <v>162</v>
      </c>
    </row>
    <row r="141" spans="1:14" ht="13.5" thickBot="1"/>
    <row r="142" spans="1:14">
      <c r="A142" s="311" t="s">
        <v>522</v>
      </c>
      <c r="B142" s="312"/>
      <c r="C142" s="312"/>
      <c r="D142" s="312"/>
      <c r="E142" s="312"/>
      <c r="F142" s="312"/>
      <c r="G142" s="312"/>
      <c r="H142" s="312"/>
      <c r="I142" s="312"/>
      <c r="J142" s="312"/>
      <c r="K142" s="312"/>
      <c r="L142" s="312"/>
      <c r="M142" s="312"/>
      <c r="N142" s="313"/>
    </row>
    <row r="143" spans="1:14">
      <c r="A143" s="314"/>
      <c r="B143" s="315"/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6"/>
    </row>
    <row r="144" spans="1:14">
      <c r="A144" s="314"/>
      <c r="B144" s="315"/>
      <c r="C144" s="315"/>
      <c r="D144" s="315"/>
      <c r="E144" s="315"/>
      <c r="F144" s="315"/>
      <c r="G144" s="315"/>
      <c r="H144" s="315"/>
      <c r="I144" s="315"/>
      <c r="J144" s="315"/>
      <c r="K144" s="315"/>
      <c r="L144" s="315"/>
      <c r="M144" s="315"/>
      <c r="N144" s="316"/>
    </row>
    <row r="145" spans="1:14">
      <c r="A145" s="297"/>
      <c r="B145" s="317" t="s">
        <v>521</v>
      </c>
      <c r="C145" s="317" t="s">
        <v>520</v>
      </c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307"/>
    </row>
    <row r="146" spans="1:14">
      <c r="A146" s="297" t="s">
        <v>443</v>
      </c>
      <c r="B146" s="317">
        <v>60000</v>
      </c>
      <c r="C146" s="317">
        <f>B146*12</f>
        <v>720000</v>
      </c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307"/>
    </row>
    <row r="147" spans="1:14" ht="13.5" thickBot="1">
      <c r="A147" s="297" t="s">
        <v>444</v>
      </c>
      <c r="B147" s="317">
        <v>40000</v>
      </c>
      <c r="C147" s="317">
        <f t="shared" ref="C147:C152" si="9">B147*12</f>
        <v>480000</v>
      </c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307"/>
    </row>
    <row r="148" spans="1:14">
      <c r="A148" s="297" t="s">
        <v>445</v>
      </c>
      <c r="B148" s="317">
        <v>25000</v>
      </c>
      <c r="C148" s="317">
        <f t="shared" si="9"/>
        <v>300000</v>
      </c>
      <c r="D148" s="99"/>
      <c r="E148" s="99"/>
      <c r="F148" s="99"/>
      <c r="G148" s="303" t="s">
        <v>447</v>
      </c>
      <c r="H148" s="304"/>
      <c r="I148" s="304"/>
      <c r="J148" s="304"/>
      <c r="K148" s="304"/>
      <c r="L148" s="304"/>
      <c r="M148" s="304"/>
      <c r="N148" s="305"/>
    </row>
    <row r="149" spans="1:14">
      <c r="A149" s="297" t="s">
        <v>446</v>
      </c>
      <c r="B149" s="317">
        <v>30000</v>
      </c>
      <c r="C149" s="317">
        <f t="shared" si="9"/>
        <v>360000</v>
      </c>
      <c r="D149" s="99"/>
      <c r="E149" s="99"/>
      <c r="F149" s="99"/>
      <c r="G149" s="306"/>
      <c r="H149" s="99"/>
      <c r="I149" s="99"/>
      <c r="J149" s="99"/>
      <c r="K149" s="99"/>
      <c r="L149" s="99"/>
      <c r="M149" s="99"/>
      <c r="N149" s="307"/>
    </row>
    <row r="150" spans="1:14">
      <c r="A150" s="297" t="s">
        <v>448</v>
      </c>
      <c r="B150" s="317">
        <v>45000</v>
      </c>
      <c r="C150" s="317">
        <f t="shared" si="9"/>
        <v>540000</v>
      </c>
      <c r="D150" s="99"/>
      <c r="E150" s="99"/>
      <c r="F150" s="99"/>
      <c r="G150" s="306" t="s">
        <v>450</v>
      </c>
      <c r="H150" s="99"/>
      <c r="I150" s="99"/>
      <c r="J150" s="99"/>
      <c r="K150" s="99"/>
      <c r="L150" s="99"/>
      <c r="M150" s="99"/>
      <c r="N150" s="307"/>
    </row>
    <row r="151" spans="1:14">
      <c r="A151" s="297" t="s">
        <v>449</v>
      </c>
      <c r="B151" s="317">
        <v>40000</v>
      </c>
      <c r="C151" s="317">
        <f t="shared" si="9"/>
        <v>480000</v>
      </c>
      <c r="D151" s="99"/>
      <c r="E151" s="99"/>
      <c r="F151" s="99"/>
      <c r="G151" s="306"/>
      <c r="H151" s="99"/>
      <c r="I151" s="99">
        <v>1</v>
      </c>
      <c r="J151" s="99" t="s">
        <v>452</v>
      </c>
      <c r="K151" s="99"/>
      <c r="L151" s="99">
        <v>365</v>
      </c>
      <c r="M151" s="99" t="s">
        <v>453</v>
      </c>
      <c r="N151" s="307"/>
    </row>
    <row r="152" spans="1:14" ht="13.5" thickBot="1">
      <c r="A152" s="297" t="s">
        <v>451</v>
      </c>
      <c r="B152" s="317">
        <v>40000</v>
      </c>
      <c r="C152" s="317">
        <f t="shared" si="9"/>
        <v>480000</v>
      </c>
      <c r="D152" s="99"/>
      <c r="E152" s="99"/>
      <c r="F152" s="99"/>
      <c r="G152" s="306"/>
      <c r="H152" s="99"/>
      <c r="I152" s="99">
        <v>8</v>
      </c>
      <c r="J152" s="99" t="s">
        <v>454</v>
      </c>
      <c r="K152" s="99"/>
      <c r="L152" s="99">
        <v>15</v>
      </c>
      <c r="M152" s="99" t="s">
        <v>455</v>
      </c>
      <c r="N152" s="307"/>
    </row>
    <row r="153" spans="1:14">
      <c r="A153" s="294" t="s">
        <v>153</v>
      </c>
      <c r="B153" s="295"/>
      <c r="C153" s="296">
        <f>SUM(C146:C152)</f>
        <v>3360000</v>
      </c>
      <c r="D153" s="99"/>
      <c r="E153" s="99"/>
      <c r="F153" s="99"/>
      <c r="G153" s="306"/>
      <c r="H153" s="99"/>
      <c r="I153" s="99">
        <v>6</v>
      </c>
      <c r="J153" s="99" t="s">
        <v>457</v>
      </c>
      <c r="K153" s="99"/>
      <c r="L153" s="99">
        <v>10</v>
      </c>
      <c r="M153" s="99" t="s">
        <v>458</v>
      </c>
      <c r="N153" s="307"/>
    </row>
    <row r="154" spans="1:14">
      <c r="A154" s="297" t="s">
        <v>456</v>
      </c>
      <c r="B154" s="298"/>
      <c r="C154" s="299">
        <f>C150</f>
        <v>540000</v>
      </c>
      <c r="D154" s="99"/>
      <c r="E154" s="99"/>
      <c r="F154" s="99"/>
      <c r="G154" s="306"/>
      <c r="H154" s="99"/>
      <c r="I154" s="99"/>
      <c r="J154" s="99"/>
      <c r="K154" s="99"/>
      <c r="L154" s="99">
        <v>50</v>
      </c>
      <c r="M154" s="99" t="s">
        <v>460</v>
      </c>
      <c r="N154" s="307"/>
    </row>
    <row r="155" spans="1:14">
      <c r="A155" s="297" t="s">
        <v>459</v>
      </c>
      <c r="B155" s="298"/>
      <c r="C155" s="299">
        <f>SUM(C146,C147,C148,C149,C151,C152)</f>
        <v>2820000</v>
      </c>
      <c r="D155" s="99"/>
      <c r="E155" s="99"/>
      <c r="F155" s="99"/>
      <c r="G155" s="306"/>
      <c r="H155" s="99"/>
      <c r="I155" s="99"/>
      <c r="J155" s="99"/>
      <c r="K155" s="99"/>
      <c r="L155" s="99"/>
      <c r="M155" s="99"/>
      <c r="N155" s="307"/>
    </row>
    <row r="156" spans="1:14" ht="13.5" thickBot="1">
      <c r="A156" s="300" t="s">
        <v>461</v>
      </c>
      <c r="B156" s="301"/>
      <c r="C156" s="302">
        <f>C154+C149+C151</f>
        <v>1380000</v>
      </c>
      <c r="D156" s="99"/>
      <c r="E156" s="99"/>
      <c r="F156" s="99"/>
      <c r="G156" s="306"/>
      <c r="H156" s="99"/>
      <c r="I156" s="99"/>
      <c r="J156" s="99" t="s">
        <v>462</v>
      </c>
      <c r="K156" s="99">
        <v>2320</v>
      </c>
      <c r="L156" s="99" t="s">
        <v>463</v>
      </c>
      <c r="M156" s="99"/>
      <c r="N156" s="307"/>
    </row>
    <row r="157" spans="1:14">
      <c r="A157" s="318"/>
      <c r="B157" s="99"/>
      <c r="C157" s="319"/>
      <c r="D157" s="99"/>
      <c r="E157" s="99"/>
      <c r="F157" s="99"/>
      <c r="G157" s="306"/>
      <c r="H157" s="99"/>
      <c r="I157" s="99"/>
      <c r="J157" s="99"/>
      <c r="K157" s="99"/>
      <c r="L157" s="99"/>
      <c r="M157" s="99"/>
      <c r="N157" s="307"/>
    </row>
    <row r="158" spans="1:14">
      <c r="A158" s="318"/>
      <c r="B158" s="99"/>
      <c r="C158" s="319"/>
      <c r="D158" s="99"/>
      <c r="E158" s="99"/>
      <c r="F158" s="99"/>
      <c r="G158" s="306"/>
      <c r="H158" s="99" t="s">
        <v>464</v>
      </c>
      <c r="I158" s="99" t="s">
        <v>465</v>
      </c>
      <c r="J158" s="99"/>
      <c r="K158" s="99"/>
      <c r="L158" s="99"/>
      <c r="M158" s="99"/>
      <c r="N158" s="307"/>
    </row>
    <row r="159" spans="1:14" ht="13.5" thickBot="1">
      <c r="A159" s="320"/>
      <c r="B159" s="309"/>
      <c r="C159" s="321"/>
      <c r="D159" s="309"/>
      <c r="E159" s="309"/>
      <c r="F159" s="309"/>
      <c r="G159" s="308"/>
      <c r="H159" s="309">
        <f>15000*12/2320</f>
        <v>77.58620689655173</v>
      </c>
      <c r="I159" s="309">
        <v>22.5</v>
      </c>
      <c r="J159" s="309"/>
      <c r="K159" s="309"/>
      <c r="L159" s="309"/>
      <c r="M159" s="309"/>
      <c r="N159" s="310"/>
    </row>
  </sheetData>
  <sheetProtection selectLockedCells="1" selectUnlockedCells="1"/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 r:id="rId1"/>
  <headerFooter alignWithMargins="0"/>
  <ignoredErrors>
    <ignoredError sqref="B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B1:E7"/>
  <sheetViews>
    <sheetView workbookViewId="0">
      <selection activeCell="K32" sqref="K32"/>
    </sheetView>
  </sheetViews>
  <sheetFormatPr baseColWidth="10" defaultRowHeight="12.75"/>
  <cols>
    <col min="4" max="4" width="11.7109375" bestFit="1" customWidth="1"/>
    <col min="5" max="5" width="16.5703125" customWidth="1"/>
  </cols>
  <sheetData>
    <row r="1" spans="2:5" ht="13.5" thickBot="1"/>
    <row r="2" spans="2:5" ht="13.5" thickBot="1">
      <c r="D2" s="399" t="s">
        <v>49</v>
      </c>
      <c r="E2" s="400" t="s">
        <v>572</v>
      </c>
    </row>
    <row r="3" spans="2:5">
      <c r="B3" s="401" t="s">
        <v>573</v>
      </c>
      <c r="C3" s="402">
        <v>0.01</v>
      </c>
      <c r="D3" s="403">
        <f>C3*('E-Inv AF y Am'!B51-'E-Inv AF y Am'!B50)</f>
        <v>238984.84815000001</v>
      </c>
      <c r="E3" s="404">
        <f>C3*('E-Inv AF y Am'!B51-'E-Inv AF y Am'!B50)</f>
        <v>238984.84815000001</v>
      </c>
    </row>
    <row r="4" spans="2:5">
      <c r="B4" s="405" t="s">
        <v>83</v>
      </c>
      <c r="C4" s="406">
        <v>1.6E-2</v>
      </c>
      <c r="D4" s="407">
        <f>C4*'E-Inv AF y Am'!B46+'gastos materiales'!C4*'E-Inv AF y Am'!D11</f>
        <v>49278.489600000001</v>
      </c>
      <c r="E4" s="408">
        <f>C4*'E-Inv AF y Am'!B46+'gastos materiales'!C4*'E-Inv AF y Am'!D11</f>
        <v>49278.489600000001</v>
      </c>
    </row>
    <row r="5" spans="2:5">
      <c r="B5" s="409" t="s">
        <v>410</v>
      </c>
      <c r="C5" s="410">
        <v>1.4999999999999999E-2</v>
      </c>
      <c r="D5" s="407">
        <f>C5*'E-Costos'!B7</f>
        <v>136812.44347826089</v>
      </c>
      <c r="E5" s="408">
        <f>C5*'[1]E-Costos'!C7</f>
        <v>149842.19999999998</v>
      </c>
    </row>
    <row r="6" spans="2:5" ht="13.5" thickBot="1">
      <c r="B6" s="411" t="s">
        <v>121</v>
      </c>
      <c r="C6" s="412">
        <v>0.03</v>
      </c>
      <c r="D6" s="413">
        <f>C6*'E-Costos'!B8</f>
        <v>15390</v>
      </c>
      <c r="E6" s="413">
        <f>C6*'E-Costos'!C8</f>
        <v>16200</v>
      </c>
    </row>
    <row r="7" spans="2:5" ht="13.5" thickBot="1">
      <c r="C7" s="414" t="s">
        <v>574</v>
      </c>
      <c r="D7" s="415">
        <f>SUM(D3:D6)</f>
        <v>440465.78122826089</v>
      </c>
      <c r="E7" s="416">
        <f>SUM(E3:E6)</f>
        <v>454305.53775000002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F36"/>
  <sheetViews>
    <sheetView topLeftCell="A12" workbookViewId="0">
      <selection activeCell="I22" sqref="I22"/>
    </sheetView>
  </sheetViews>
  <sheetFormatPr baseColWidth="10" defaultRowHeight="12.75"/>
  <cols>
    <col min="2" max="2" width="36.7109375" customWidth="1"/>
    <col min="3" max="3" width="11.7109375" customWidth="1"/>
    <col min="4" max="4" width="15.42578125" customWidth="1"/>
    <col min="5" max="5" width="11.42578125" customWidth="1"/>
  </cols>
  <sheetData>
    <row r="1" spans="2:4" ht="13.5" thickBot="1"/>
    <row r="2" spans="2:4">
      <c r="B2" s="442" t="s">
        <v>576</v>
      </c>
      <c r="C2" s="443">
        <f>50</f>
        <v>50</v>
      </c>
      <c r="D2" s="444" t="s">
        <v>577</v>
      </c>
    </row>
    <row r="3" spans="2:4">
      <c r="B3" s="445" t="s">
        <v>578</v>
      </c>
      <c r="C3" s="446">
        <f>C2*Salarios!K12*Datos!B21</f>
        <v>58000</v>
      </c>
      <c r="D3" s="447" t="s">
        <v>579</v>
      </c>
    </row>
    <row r="4" spans="2:4" ht="13.5" thickBot="1">
      <c r="B4" s="448" t="s">
        <v>580</v>
      </c>
      <c r="C4" s="449">
        <f>C3*Datos!B22</f>
        <v>580</v>
      </c>
      <c r="D4" s="450" t="s">
        <v>579</v>
      </c>
    </row>
    <row r="5" spans="2:4" ht="13.5" thickBot="1"/>
    <row r="6" spans="2:4">
      <c r="B6" s="442" t="s">
        <v>582</v>
      </c>
      <c r="C6" s="453">
        <v>61.56</v>
      </c>
      <c r="D6" s="444" t="s">
        <v>583</v>
      </c>
    </row>
    <row r="7" spans="2:4" ht="13.5" thickBot="1">
      <c r="B7" s="448" t="s">
        <v>584</v>
      </c>
      <c r="C7" s="454">
        <v>0.6</v>
      </c>
      <c r="D7" s="450" t="s">
        <v>585</v>
      </c>
    </row>
    <row r="8" spans="2:4" ht="13.5" thickBot="1"/>
    <row r="9" spans="2:4" ht="13.5" thickBot="1">
      <c r="B9" s="455" t="s">
        <v>586</v>
      </c>
      <c r="C9" s="456" t="s">
        <v>587</v>
      </c>
    </row>
    <row r="10" spans="2:4">
      <c r="B10" s="457" t="s">
        <v>410</v>
      </c>
      <c r="C10" s="458">
        <v>1</v>
      </c>
    </row>
    <row r="13" spans="2:4" ht="13.5" thickBot="1"/>
    <row r="14" spans="2:4" ht="13.5" thickBot="1">
      <c r="B14" s="455" t="s">
        <v>597</v>
      </c>
      <c r="C14" s="459" t="s">
        <v>489</v>
      </c>
      <c r="D14" s="456" t="s">
        <v>588</v>
      </c>
    </row>
    <row r="15" spans="2:4">
      <c r="B15" s="457" t="s">
        <v>589</v>
      </c>
      <c r="C15" s="460">
        <f>C3*C10</f>
        <v>58000</v>
      </c>
      <c r="D15" s="461" t="s">
        <v>579</v>
      </c>
    </row>
    <row r="16" spans="2:4">
      <c r="B16" s="445" t="s">
        <v>590</v>
      </c>
      <c r="C16" s="462">
        <f>C4</f>
        <v>580</v>
      </c>
      <c r="D16" s="447" t="s">
        <v>579</v>
      </c>
    </row>
    <row r="17" spans="2:6">
      <c r="B17" s="445" t="s">
        <v>591</v>
      </c>
      <c r="C17" s="462">
        <f>(C15-C16)/11.5</f>
        <v>4993.04347826087</v>
      </c>
      <c r="D17" s="447" t="s">
        <v>579</v>
      </c>
    </row>
    <row r="18" spans="2:6">
      <c r="B18" s="445" t="s">
        <v>592</v>
      </c>
      <c r="C18" s="462">
        <f>C2</f>
        <v>50</v>
      </c>
      <c r="D18" s="447" t="s">
        <v>577</v>
      </c>
    </row>
    <row r="19" spans="2:6">
      <c r="B19" s="445" t="s">
        <v>593</v>
      </c>
      <c r="C19" s="462">
        <f>C17/C18</f>
        <v>99.860869565217399</v>
      </c>
      <c r="D19" s="447" t="s">
        <v>594</v>
      </c>
    </row>
    <row r="20" spans="2:6">
      <c r="B20" s="445" t="s">
        <v>595</v>
      </c>
      <c r="C20" s="462">
        <f>C6</f>
        <v>61.56</v>
      </c>
      <c r="D20" s="447" t="s">
        <v>596</v>
      </c>
    </row>
    <row r="21" spans="2:6" ht="13.5" thickBot="1">
      <c r="B21" s="448" t="s">
        <v>598</v>
      </c>
      <c r="C21" s="449">
        <f>C7</f>
        <v>0.6</v>
      </c>
      <c r="D21" s="450" t="s">
        <v>599</v>
      </c>
    </row>
    <row r="22" spans="2:6" ht="13.5" thickBot="1"/>
    <row r="23" spans="2:6">
      <c r="B23" s="485" t="s">
        <v>600</v>
      </c>
      <c r="C23" s="453" t="s">
        <v>601</v>
      </c>
      <c r="D23" s="463">
        <f>C18*C20</f>
        <v>3078</v>
      </c>
    </row>
    <row r="24" spans="2:6" ht="13.5" thickBot="1">
      <c r="B24" s="486"/>
      <c r="C24" s="454" t="s">
        <v>602</v>
      </c>
      <c r="D24" s="464">
        <f>C17*C21</f>
        <v>2995.826086956522</v>
      </c>
    </row>
    <row r="25" spans="2:6">
      <c r="B25" s="485" t="s">
        <v>603</v>
      </c>
      <c r="C25" s="453" t="s">
        <v>601</v>
      </c>
      <c r="D25" s="463">
        <f>D23/2</f>
        <v>1539</v>
      </c>
    </row>
    <row r="26" spans="2:6" ht="13.5" thickBot="1">
      <c r="B26" s="486"/>
      <c r="C26" s="454" t="s">
        <v>602</v>
      </c>
      <c r="D26" s="464">
        <f>C16*C21</f>
        <v>348</v>
      </c>
    </row>
    <row r="27" spans="2:6" ht="13.5" thickBot="1">
      <c r="B27" s="485" t="s">
        <v>604</v>
      </c>
      <c r="C27" s="465" t="s">
        <v>601</v>
      </c>
      <c r="D27" s="404">
        <f>D23+D25</f>
        <v>4617</v>
      </c>
    </row>
    <row r="28" spans="2:6" ht="13.5" thickBot="1">
      <c r="B28" s="486"/>
      <c r="C28" s="454" t="s">
        <v>602</v>
      </c>
      <c r="D28" s="464">
        <f>D24+D26</f>
        <v>3343.826086956522</v>
      </c>
      <c r="E28" s="469">
        <f>D27+D28</f>
        <v>7960.826086956522</v>
      </c>
      <c r="F28" s="470" t="s">
        <v>575</v>
      </c>
    </row>
    <row r="29" spans="2:6" ht="13.5" thickBot="1"/>
    <row r="30" spans="2:6" ht="13.5" thickBot="1">
      <c r="B30" s="478" t="s">
        <v>49</v>
      </c>
      <c r="C30" s="479"/>
      <c r="D30" s="480"/>
      <c r="E30" s="466">
        <v>0.95</v>
      </c>
      <c r="F30" t="s">
        <v>605</v>
      </c>
    </row>
    <row r="31" spans="2:6">
      <c r="B31" s="481" t="s">
        <v>600</v>
      </c>
      <c r="C31" s="453" t="s">
        <v>601</v>
      </c>
      <c r="D31" s="463">
        <f t="shared" ref="D31:D36" si="0">D23*$E$30</f>
        <v>2924.1</v>
      </c>
    </row>
    <row r="32" spans="2:6" ht="13.5" thickBot="1">
      <c r="B32" s="482"/>
      <c r="C32" s="467" t="s">
        <v>602</v>
      </c>
      <c r="D32" s="468">
        <f t="shared" si="0"/>
        <v>2846.0347826086959</v>
      </c>
    </row>
    <row r="33" spans="2:6">
      <c r="B33" s="481" t="s">
        <v>603</v>
      </c>
      <c r="C33" s="453" t="s">
        <v>601</v>
      </c>
      <c r="D33" s="463">
        <f t="shared" si="0"/>
        <v>1462.05</v>
      </c>
    </row>
    <row r="34" spans="2:6" ht="13.5" thickBot="1">
      <c r="B34" s="483"/>
      <c r="C34" s="454" t="s">
        <v>602</v>
      </c>
      <c r="D34" s="464">
        <f t="shared" si="0"/>
        <v>330.59999999999997</v>
      </c>
    </row>
    <row r="35" spans="2:6" ht="13.5" thickBot="1">
      <c r="B35" s="484" t="s">
        <v>604</v>
      </c>
      <c r="C35" s="465" t="s">
        <v>601</v>
      </c>
      <c r="D35" s="404">
        <f t="shared" si="0"/>
        <v>4386.1499999999996</v>
      </c>
    </row>
    <row r="36" spans="2:6" ht="13.5" thickBot="1">
      <c r="B36" s="483"/>
      <c r="C36" s="454" t="s">
        <v>602</v>
      </c>
      <c r="D36" s="464">
        <f t="shared" si="0"/>
        <v>3176.6347826086958</v>
      </c>
      <c r="E36" s="469">
        <f>D35+D36</f>
        <v>7562.7847826086954</v>
      </c>
      <c r="F36" s="470" t="s">
        <v>575</v>
      </c>
    </row>
  </sheetData>
  <mergeCells count="7">
    <mergeCell ref="B30:D30"/>
    <mergeCell ref="B31:B32"/>
    <mergeCell ref="B33:B34"/>
    <mergeCell ref="B35:B36"/>
    <mergeCell ref="B23:B24"/>
    <mergeCell ref="B25:B26"/>
    <mergeCell ref="B27:B28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N16"/>
  <sheetViews>
    <sheetView showGridLines="0" workbookViewId="0">
      <selection activeCell="C12" sqref="B12:E16"/>
    </sheetView>
  </sheetViews>
  <sheetFormatPr baseColWidth="10" defaultColWidth="11.42578125" defaultRowHeight="12.75"/>
  <cols>
    <col min="1" max="1" width="11.42578125" customWidth="1"/>
    <col min="2" max="2" width="4.7109375" customWidth="1"/>
    <col min="5" max="6" width="13.7109375" bestFit="1" customWidth="1"/>
    <col min="11" max="11" width="5.28515625" customWidth="1"/>
  </cols>
  <sheetData>
    <row r="2" spans="2:14">
      <c r="F2" s="262" t="s">
        <v>49</v>
      </c>
      <c r="G2" s="262" t="s">
        <v>93</v>
      </c>
    </row>
    <row r="3" spans="2:14">
      <c r="B3" s="487" t="s">
        <v>154</v>
      </c>
      <c r="C3" s="487"/>
      <c r="D3" s="487"/>
      <c r="E3" s="487"/>
      <c r="F3" s="260">
        <f>'E-Costos'!B127</f>
        <v>3266799.4615800004</v>
      </c>
      <c r="G3" s="260">
        <f>'E-Costos'!F127</f>
        <v>3253752.3627000004</v>
      </c>
    </row>
    <row r="4" spans="2:14">
      <c r="B4" s="487" t="s">
        <v>155</v>
      </c>
      <c r="C4" s="487"/>
      <c r="D4" s="487"/>
      <c r="E4" s="487"/>
      <c r="F4" s="260">
        <f>'E-Costos'!B128</f>
        <v>10615804.434940593</v>
      </c>
      <c r="G4" s="260">
        <f>'E-Costos'!F128</f>
        <v>11561566.312898435</v>
      </c>
    </row>
    <row r="5" spans="2:14">
      <c r="B5" s="487" t="s">
        <v>156</v>
      </c>
      <c r="C5" s="487"/>
      <c r="D5" s="487"/>
      <c r="E5" s="487"/>
      <c r="F5" s="260">
        <f>'E-Costos'!B129</f>
        <v>896366.85779504548</v>
      </c>
      <c r="G5" s="260">
        <f>'E-Costos'!F129</f>
        <v>983680.94477656903</v>
      </c>
    </row>
    <row r="6" spans="2:14">
      <c r="B6" s="487" t="s">
        <v>157</v>
      </c>
      <c r="C6" s="487"/>
      <c r="D6" s="487"/>
      <c r="E6" s="487"/>
      <c r="F6" s="260">
        <f>'E-Costos'!B130</f>
        <v>0</v>
      </c>
      <c r="G6" s="260">
        <f>'E-Costos'!F130</f>
        <v>0</v>
      </c>
    </row>
    <row r="7" spans="2:14">
      <c r="B7" s="487" t="s">
        <v>158</v>
      </c>
      <c r="C7" s="487"/>
      <c r="D7" s="487"/>
      <c r="E7" s="487"/>
      <c r="F7" s="260">
        <f>'E-Costos'!B131</f>
        <v>960510.95897666668</v>
      </c>
      <c r="G7" s="260">
        <f>'E-Costos'!F131</f>
        <v>1061786.1201500001</v>
      </c>
    </row>
    <row r="8" spans="2:14">
      <c r="B8" s="487" t="s">
        <v>159</v>
      </c>
      <c r="C8" s="487"/>
      <c r="D8" s="487"/>
      <c r="E8" s="487"/>
      <c r="F8" s="260">
        <f>'E-Costos'!B132</f>
        <v>1269071.5565554416</v>
      </c>
      <c r="G8" s="260">
        <f>'E-Costos'!F132</f>
        <v>1409315.6189481132</v>
      </c>
    </row>
    <row r="9" spans="2:14">
      <c r="B9" s="488" t="s">
        <v>467</v>
      </c>
      <c r="C9" s="488"/>
      <c r="D9" s="488"/>
      <c r="E9" s="488"/>
      <c r="F9" s="261">
        <f>'E-Costos'!B134</f>
        <v>0.29511324506943826</v>
      </c>
      <c r="G9" s="261">
        <f>'E-Costos'!F134</f>
        <v>0.2568805612590549</v>
      </c>
    </row>
    <row r="12" spans="2:14">
      <c r="C12" s="264" t="s">
        <v>49</v>
      </c>
      <c r="L12" s="264" t="s">
        <v>93</v>
      </c>
    </row>
    <row r="13" spans="2:14">
      <c r="D13" s="263">
        <v>0</v>
      </c>
      <c r="E13" s="263">
        <v>1</v>
      </c>
      <c r="M13" s="263">
        <v>0</v>
      </c>
      <c r="N13" s="263">
        <v>1</v>
      </c>
    </row>
    <row r="14" spans="2:14">
      <c r="B14" s="489" t="s">
        <v>468</v>
      </c>
      <c r="C14" s="489"/>
      <c r="D14" s="260">
        <f>F3+F5+F7</f>
        <v>5123677.278351712</v>
      </c>
      <c r="E14" s="260">
        <f>F3+F5+F7</f>
        <v>5123677.278351712</v>
      </c>
      <c r="K14" s="490" t="s">
        <v>468</v>
      </c>
      <c r="L14" s="490"/>
      <c r="M14" s="260">
        <f>G3+G5+G7</f>
        <v>5299219.4276265688</v>
      </c>
      <c r="N14" s="260">
        <f>G3+G5+G7</f>
        <v>5299219.4276265688</v>
      </c>
    </row>
    <row r="15" spans="2:14">
      <c r="B15" s="489" t="s">
        <v>469</v>
      </c>
      <c r="C15" s="489"/>
      <c r="D15" s="260">
        <f>F3+F5+F7</f>
        <v>5123677.278351712</v>
      </c>
      <c r="E15" s="260">
        <f>SUM(F3:F8)</f>
        <v>17008553.269847747</v>
      </c>
      <c r="K15" s="490" t="s">
        <v>469</v>
      </c>
      <c r="L15" s="490"/>
      <c r="M15" s="260">
        <f>G3+G5+G7</f>
        <v>5299219.4276265688</v>
      </c>
      <c r="N15" s="260">
        <f>SUM(G3:G8)</f>
        <v>18270101.359473117</v>
      </c>
    </row>
    <row r="16" spans="2:14">
      <c r="B16" s="490" t="s">
        <v>470</v>
      </c>
      <c r="C16" s="490"/>
      <c r="D16" s="260">
        <v>0</v>
      </c>
      <c r="E16" s="260">
        <f>'E-Costos'!B87</f>
        <v>29246608.695652176</v>
      </c>
      <c r="K16" s="490" t="s">
        <v>470</v>
      </c>
      <c r="L16" s="490"/>
      <c r="M16" s="260">
        <v>0</v>
      </c>
      <c r="N16" s="260">
        <f>'E-Costos'!F87</f>
        <v>33600000</v>
      </c>
    </row>
  </sheetData>
  <mergeCells count="13">
    <mergeCell ref="B9:E9"/>
    <mergeCell ref="B14:C14"/>
    <mergeCell ref="B15:C15"/>
    <mergeCell ref="B16:C16"/>
    <mergeCell ref="K14:L14"/>
    <mergeCell ref="K15:L15"/>
    <mergeCell ref="K16:L16"/>
    <mergeCell ref="B8:E8"/>
    <mergeCell ref="B3:E3"/>
    <mergeCell ref="B4:E4"/>
    <mergeCell ref="B5:E5"/>
    <mergeCell ref="B6:E6"/>
    <mergeCell ref="B7:E7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workbookViewId="0">
      <selection activeCell="F11" sqref="F11"/>
    </sheetView>
  </sheetViews>
  <sheetFormatPr baseColWidth="10" defaultColWidth="11.42578125" defaultRowHeight="12.75"/>
  <cols>
    <col min="1" max="1" width="45.5703125" style="14" customWidth="1"/>
    <col min="2" max="2" width="30" style="14" customWidth="1"/>
    <col min="3" max="3" width="21.42578125" style="14" customWidth="1"/>
    <col min="4" max="7" width="14.85546875" style="14" customWidth="1"/>
    <col min="8" max="8" width="17.42578125" style="14" customWidth="1"/>
    <col min="9" max="16384" width="11.42578125" style="14"/>
  </cols>
  <sheetData>
    <row r="1" spans="1:7">
      <c r="A1" s="1" t="s">
        <v>0</v>
      </c>
      <c r="B1"/>
      <c r="C1"/>
      <c r="D1"/>
      <c r="E1" s="2">
        <f>InfoInicial!E1</f>
        <v>0</v>
      </c>
    </row>
    <row r="2" spans="1:7">
      <c r="A2" s="1"/>
      <c r="B2"/>
      <c r="C2"/>
      <c r="D2"/>
      <c r="E2" s="99"/>
    </row>
    <row r="3" spans="1:7" ht="15.75">
      <c r="A3" s="53" t="s">
        <v>163</v>
      </c>
      <c r="B3" s="54"/>
      <c r="C3" s="54"/>
      <c r="D3" s="54"/>
      <c r="E3" s="54"/>
      <c r="F3" s="54"/>
      <c r="G3" s="55"/>
    </row>
    <row r="4" spans="1:7">
      <c r="A4" s="56" t="s">
        <v>89</v>
      </c>
      <c r="B4" s="17" t="s">
        <v>48</v>
      </c>
      <c r="C4" s="17" t="s">
        <v>49</v>
      </c>
      <c r="D4" s="17" t="s">
        <v>90</v>
      </c>
      <c r="E4" s="17" t="s">
        <v>91</v>
      </c>
      <c r="F4" s="17" t="s">
        <v>92</v>
      </c>
      <c r="G4" s="18" t="s">
        <v>93</v>
      </c>
    </row>
    <row r="5" spans="1:7">
      <c r="A5" s="100" t="s">
        <v>164</v>
      </c>
      <c r="B5" s="101"/>
      <c r="C5" s="101"/>
      <c r="D5" s="101"/>
      <c r="E5" s="101"/>
      <c r="F5" s="101"/>
      <c r="G5" s="102"/>
    </row>
    <row r="6" spans="1:7">
      <c r="A6" s="100" t="s">
        <v>165</v>
      </c>
      <c r="B6" s="59">
        <f>C6*0.8</f>
        <v>537600</v>
      </c>
      <c r="C6" s="59">
        <f>'E-Costos'!C87*0.02</f>
        <v>672000</v>
      </c>
      <c r="D6" s="59">
        <f>'E-Costos'!D87*0.02</f>
        <v>672000</v>
      </c>
      <c r="E6" s="59">
        <f>'E-Costos'!E87*0.02</f>
        <v>672000</v>
      </c>
      <c r="F6" s="59">
        <f>'E-Costos'!F87*0.02</f>
        <v>672000</v>
      </c>
      <c r="G6" s="59">
        <f>'E-Costos'!F87*0.02</f>
        <v>672000</v>
      </c>
    </row>
    <row r="7" spans="1:7">
      <c r="A7" s="100" t="s">
        <v>166</v>
      </c>
      <c r="B7" s="59">
        <v>0</v>
      </c>
      <c r="C7" s="59">
        <f>'E-Costos'!C87*(30/365)</f>
        <v>2761643.8356164382</v>
      </c>
      <c r="D7" s="59">
        <f>'E-Costos'!D87*(30/365)</f>
        <v>2761643.8356164382</v>
      </c>
      <c r="E7" s="59">
        <f>'E-Costos'!E87*(30/365)</f>
        <v>2761643.8356164382</v>
      </c>
      <c r="F7" s="59">
        <f>'E-Costos'!F87*(30/365)</f>
        <v>2761643.8356164382</v>
      </c>
      <c r="G7" s="59">
        <f>'E-Costos'!F87*(30/365)</f>
        <v>2761643.8356164382</v>
      </c>
    </row>
    <row r="8" spans="1:7">
      <c r="A8" s="103"/>
      <c r="B8" s="80"/>
      <c r="C8" s="80"/>
      <c r="D8" s="80"/>
      <c r="E8" s="80"/>
      <c r="F8" s="80"/>
      <c r="G8" s="81"/>
    </row>
    <row r="9" spans="1:7">
      <c r="A9" s="100" t="s">
        <v>167</v>
      </c>
      <c r="B9" s="80">
        <f t="shared" ref="B9:G9" si="0">SUM(B10:B13)</f>
        <v>1499408.3613733919</v>
      </c>
      <c r="C9" s="80">
        <f t="shared" si="0"/>
        <v>9222409.2394633107</v>
      </c>
      <c r="D9" s="80">
        <f t="shared" si="0"/>
        <v>8891944.4401094634</v>
      </c>
      <c r="E9" s="80">
        <f t="shared" si="0"/>
        <v>8891944.4401094634</v>
      </c>
      <c r="F9" s="80">
        <f t="shared" si="0"/>
        <v>8891797.5558702741</v>
      </c>
      <c r="G9" s="80">
        <f t="shared" si="0"/>
        <v>8891797.5558702741</v>
      </c>
    </row>
    <row r="10" spans="1:7">
      <c r="A10" s="103" t="s">
        <v>168</v>
      </c>
      <c r="B10" s="59">
        <f>'Stocks Mp'!B44</f>
        <v>1303102.8260869565</v>
      </c>
      <c r="C10" s="59">
        <f>'Stocks Mp'!B43</f>
        <v>8488986.9565217383</v>
      </c>
      <c r="D10" s="59">
        <f>C10</f>
        <v>8488986.9565217383</v>
      </c>
      <c r="E10" s="59">
        <f>D10</f>
        <v>8488986.9565217383</v>
      </c>
      <c r="F10" s="59">
        <f>E10</f>
        <v>8488986.9565217383</v>
      </c>
      <c r="G10" s="59">
        <f>F10</f>
        <v>8488986.9565217383</v>
      </c>
    </row>
    <row r="11" spans="1:7">
      <c r="A11" s="103" t="s">
        <v>169</v>
      </c>
      <c r="B11" s="59">
        <f>0.8*C11</f>
        <v>196305.53528643551</v>
      </c>
      <c r="C11" s="59">
        <f>'E-Costos'!B12*6/12+'E-Costos'!B53*1/12+'E-Costos'!B70*1/12</f>
        <v>245381.91910804436</v>
      </c>
      <c r="D11" s="59">
        <f>'E-Costos'!C12*6/12+'E-Costos'!C53*1/12+'E-Costos'!C70*1/12</f>
        <v>254450.03557481829</v>
      </c>
      <c r="E11" s="59">
        <f>'E-Costos'!D12*6/12+'E-Costos'!D53*1/12+'E-Costos'!D70*1/12</f>
        <v>254450.03557481829</v>
      </c>
      <c r="F11" s="59">
        <f>'E-Costos'!E12*6/12+'E-Costos'!E53*1/12+'E-Costos'!E70*1/12</f>
        <v>254438.84116397926</v>
      </c>
      <c r="G11" s="59">
        <f>'E-Costos'!F12*6/12+'E-Costos'!F53*1/12+'E-Costos'!F70*1/12</f>
        <v>254438.84116397926</v>
      </c>
    </row>
    <row r="12" spans="1:7">
      <c r="A12" s="103" t="s">
        <v>170</v>
      </c>
      <c r="B12" s="59">
        <v>0</v>
      </c>
      <c r="C12" s="59">
        <f>'E-Costos'!B34</f>
        <v>152040.36383352781</v>
      </c>
      <c r="D12" s="59">
        <f>'E-Costos'!C34</f>
        <v>148507.44801290781</v>
      </c>
      <c r="E12" s="59">
        <f>'E-Costos'!D34</f>
        <v>148507.44801290781</v>
      </c>
      <c r="F12" s="59">
        <f>'E-Costos'!E34</f>
        <v>148371.75818455583</v>
      </c>
      <c r="G12" s="59">
        <f>'E-Costos'!F34</f>
        <v>148371.75818455583</v>
      </c>
    </row>
    <row r="13" spans="1:7">
      <c r="A13" s="103" t="s">
        <v>171</v>
      </c>
      <c r="B13" s="59">
        <v>0</v>
      </c>
      <c r="C13" s="59">
        <f>'E-Costos'!B104</f>
        <v>336000</v>
      </c>
      <c r="D13" s="59">
        <f>'E-Costos'!C104</f>
        <v>0</v>
      </c>
      <c r="E13" s="59">
        <f>'E-Costos'!D104</f>
        <v>0</v>
      </c>
      <c r="F13" s="59">
        <f>'E-Costos'!E104</f>
        <v>0</v>
      </c>
      <c r="G13" s="59">
        <f>'E-Costos'!F104</f>
        <v>0</v>
      </c>
    </row>
    <row r="14" spans="1:7">
      <c r="A14" s="103"/>
      <c r="B14" s="80"/>
      <c r="C14" s="80"/>
      <c r="D14" s="80"/>
      <c r="F14" s="80"/>
      <c r="G14" s="81"/>
    </row>
    <row r="15" spans="1:7">
      <c r="A15" s="100" t="s">
        <v>172</v>
      </c>
      <c r="B15" s="59">
        <f>B9+B6+B7</f>
        <v>2037008.3613733919</v>
      </c>
      <c r="C15" s="59">
        <f t="shared" ref="C15:G15" si="1">C9+C6+C7</f>
        <v>12656053.075079748</v>
      </c>
      <c r="D15" s="59">
        <f t="shared" si="1"/>
        <v>12325588.275725901</v>
      </c>
      <c r="E15" s="59">
        <f t="shared" si="1"/>
        <v>12325588.275725901</v>
      </c>
      <c r="F15" s="59">
        <f t="shared" si="1"/>
        <v>12325441.391486712</v>
      </c>
      <c r="G15" s="59">
        <f t="shared" si="1"/>
        <v>12325441.391486712</v>
      </c>
    </row>
    <row r="16" spans="1:7">
      <c r="A16" s="100" t="s">
        <v>173</v>
      </c>
      <c r="B16" s="80"/>
      <c r="C16" s="80"/>
      <c r="D16" s="80"/>
      <c r="E16" s="80"/>
      <c r="F16" s="80"/>
      <c r="G16" s="81"/>
    </row>
    <row r="17" spans="1:7">
      <c r="A17" s="103" t="s">
        <v>174</v>
      </c>
      <c r="B17" s="59">
        <v>0</v>
      </c>
      <c r="C17" s="59">
        <f>'E-Costos'!B27</f>
        <v>8380.7319125428567</v>
      </c>
      <c r="D17" s="59">
        <f>'E-Costos'!C27</f>
        <v>7651.9726158000003</v>
      </c>
      <c r="E17" s="59">
        <f>'E-Costos'!D27</f>
        <v>7651.9726158000003</v>
      </c>
      <c r="F17" s="59">
        <f>'E-Costos'!E27</f>
        <v>7521.5016270000015</v>
      </c>
      <c r="G17" s="59">
        <f>'E-Costos'!F27</f>
        <v>7521.5016270000015</v>
      </c>
    </row>
    <row r="18" spans="1:7">
      <c r="A18" s="103" t="s">
        <v>175</v>
      </c>
      <c r="B18" s="255">
        <v>0</v>
      </c>
      <c r="C18" s="59">
        <f>('E-Costos'!B10-'E-Costos'!B27)/'Cuadro resumen'!F3*'Cuadro resumen'!F4</f>
        <v>8694.6953957799778</v>
      </c>
      <c r="D18" s="59">
        <f>('E-Costos'!C10-'E-Costos'!C27)/'Cuadro resumen'!G3*'Cuadro resumen'!G4</f>
        <v>7575.4528896420006</v>
      </c>
      <c r="E18" s="59">
        <f>('E-Costos'!D10-'E-Costos'!D27)/'Cuadro resumen'!G3*'Cuadro resumen'!G4</f>
        <v>7575.4528896420006</v>
      </c>
      <c r="F18" s="59">
        <f>('E-Costos'!E10-'E-Costos'!E27)/'Cuadro resumen'!G3*'Cuadro resumen'!G4</f>
        <v>7446.2866107300006</v>
      </c>
      <c r="G18" s="60">
        <f>('E-Costos'!F10-'E-Costos'!F27)/'Cuadro resumen'!G3*'Cuadro resumen'!G4</f>
        <v>7446.2866107300006</v>
      </c>
    </row>
    <row r="19" spans="1:7">
      <c r="A19" s="103" t="s">
        <v>176</v>
      </c>
      <c r="B19" s="59">
        <v>0</v>
      </c>
      <c r="C19" s="59">
        <f>'E-Costos'!B120*'E-InvAT'!C7</f>
        <v>757656.63689776591</v>
      </c>
      <c r="D19" s="59">
        <f>'E-Costos'!C120*'E-InvAT'!D7</f>
        <v>801330.69951527787</v>
      </c>
      <c r="E19" s="59">
        <f>'E-Costos'!D120*'E-InvAT'!E7</f>
        <v>801330.69951527787</v>
      </c>
      <c r="F19" s="59">
        <f>'E-Costos'!E120*'E-InvAT'!F7</f>
        <v>802113.65641541593</v>
      </c>
      <c r="G19" s="59">
        <f>'E-Costos'!F120*'E-InvAT'!G7</f>
        <v>802113.65641541593</v>
      </c>
    </row>
    <row r="20" spans="1:7">
      <c r="A20" s="103" t="s">
        <v>177</v>
      </c>
      <c r="B20" s="59">
        <v>0</v>
      </c>
      <c r="C20" s="59">
        <f>('E-Costos'!B124-'E-InvAT'!C17-'E-InvAT'!C18)/365*30</f>
        <v>68477.56867602827</v>
      </c>
      <c r="D20" s="59">
        <f>('E-Costos'!C124-'E-InvAT'!D17-'E-InvAT'!D18+'E-InvAT'!C17+'E-InvAT'!C18)/365*30</f>
        <v>70032.919013935418</v>
      </c>
      <c r="E20" s="59">
        <f>('E-Costos'!D124-'E-InvAT'!E17-'E-InvAT'!E18+'E-InvAT'!D17+'E-InvAT'!D18)/365*30</f>
        <v>69881.028454794519</v>
      </c>
      <c r="F20" s="59">
        <f>('E-Costos'!E124-'E-InvAT'!F17-'E-InvAT'!F18+'E-InvAT'!E17+'E-InvAT'!E18)/365*30</f>
        <v>68710.852624743449</v>
      </c>
      <c r="G20" s="59">
        <f>('E-Costos'!F124-'E-InvAT'!G17-'E-InvAT'!G18+'E-InvAT'!F17+'E-InvAT'!F18)/365*30</f>
        <v>68689.512575342465</v>
      </c>
    </row>
    <row r="21" spans="1:7">
      <c r="A21" s="103"/>
      <c r="B21" s="80"/>
      <c r="C21" s="80"/>
      <c r="D21" s="80"/>
      <c r="E21" s="80"/>
      <c r="F21" s="80"/>
      <c r="G21" s="81"/>
    </row>
    <row r="22" spans="1:7">
      <c r="A22" s="100" t="s">
        <v>178</v>
      </c>
      <c r="B22" s="59">
        <f t="shared" ref="B22:G22" si="2">B15-SUM(B17:B20)</f>
        <v>2037008.3613733919</v>
      </c>
      <c r="C22" s="59">
        <f t="shared" si="2"/>
        <v>11812843.442197632</v>
      </c>
      <c r="D22" s="59">
        <f t="shared" si="2"/>
        <v>11438997.231691245</v>
      </c>
      <c r="E22" s="59">
        <f t="shared" si="2"/>
        <v>11439149.122250387</v>
      </c>
      <c r="F22" s="59">
        <f t="shared" si="2"/>
        <v>11439649.094208822</v>
      </c>
      <c r="G22" s="59">
        <f t="shared" si="2"/>
        <v>11439670.434258223</v>
      </c>
    </row>
    <row r="23" spans="1:7">
      <c r="A23" s="103"/>
      <c r="B23" s="80"/>
      <c r="C23" s="80"/>
      <c r="D23" s="80"/>
      <c r="E23" s="80"/>
      <c r="F23" s="80"/>
      <c r="G23" s="81"/>
    </row>
    <row r="24" spans="1:7">
      <c r="A24" s="100" t="s">
        <v>179</v>
      </c>
      <c r="B24" s="59">
        <f>B22</f>
        <v>2037008.3613733919</v>
      </c>
      <c r="C24" s="59">
        <f>C15-B15</f>
        <v>10619044.713706356</v>
      </c>
      <c r="D24" s="59">
        <f>D15-C15</f>
        <v>-330464.79935384728</v>
      </c>
      <c r="E24" s="59">
        <f>E15-D15</f>
        <v>0</v>
      </c>
      <c r="F24" s="59">
        <f>F15-E15</f>
        <v>-146.88423918932676</v>
      </c>
      <c r="G24" s="59">
        <f>G15-F15</f>
        <v>0</v>
      </c>
    </row>
    <row r="25" spans="1:7">
      <c r="A25" s="100" t="s">
        <v>180</v>
      </c>
      <c r="B25" s="59">
        <f>B22</f>
        <v>2037008.3613733919</v>
      </c>
      <c r="C25" s="59">
        <f>C22-B22</f>
        <v>9775835.080824241</v>
      </c>
      <c r="D25" s="59">
        <f>D22-C22</f>
        <v>-373846.21050638705</v>
      </c>
      <c r="E25" s="59">
        <f>E22-D22</f>
        <v>151.89055914245546</v>
      </c>
      <c r="F25" s="59">
        <f>F22-E22</f>
        <v>499.97195843420923</v>
      </c>
      <c r="G25" s="59">
        <f>G22-F22</f>
        <v>21.340049400925636</v>
      </c>
    </row>
    <row r="26" spans="1:7">
      <c r="A26" s="103"/>
      <c r="B26" s="80"/>
      <c r="C26" s="80"/>
      <c r="D26" s="80"/>
      <c r="E26" s="80"/>
      <c r="F26" s="80"/>
      <c r="G26" s="81"/>
    </row>
    <row r="27" spans="1:7">
      <c r="A27" s="100" t="s">
        <v>181</v>
      </c>
      <c r="B27" s="80"/>
      <c r="C27" s="80"/>
      <c r="D27" s="80"/>
      <c r="E27" s="80"/>
      <c r="F27" s="80"/>
      <c r="G27" s="81"/>
    </row>
    <row r="28" spans="1:7">
      <c r="A28" s="103" t="s">
        <v>182</v>
      </c>
      <c r="B28" s="59"/>
      <c r="C28" s="59"/>
      <c r="D28" s="59"/>
      <c r="E28" s="59"/>
      <c r="F28" s="59"/>
      <c r="G28" s="60"/>
    </row>
    <row r="29" spans="1:7">
      <c r="A29" s="103" t="s">
        <v>183</v>
      </c>
      <c r="B29" s="59"/>
      <c r="C29" s="59"/>
      <c r="D29" s="59"/>
      <c r="E29" s="59"/>
      <c r="F29" s="59"/>
      <c r="G29" s="60"/>
    </row>
    <row r="30" spans="1:7">
      <c r="A30" s="103" t="s">
        <v>184</v>
      </c>
      <c r="B30" s="59">
        <f>0.21*B10</f>
        <v>273651.59347826085</v>
      </c>
      <c r="C30" s="59">
        <f>0.21*(C10-B10)</f>
        <v>1509035.6673913039</v>
      </c>
      <c r="D30" s="59">
        <f>0.21*(D10-C10)</f>
        <v>0</v>
      </c>
      <c r="E30" s="59">
        <f>0.21*(E10-D10)</f>
        <v>0</v>
      </c>
      <c r="F30" s="59">
        <f>0.21*(F10-E10)</f>
        <v>0</v>
      </c>
      <c r="G30" s="59">
        <f>0.21*(G10-F10)</f>
        <v>0</v>
      </c>
    </row>
    <row r="31" spans="1:7">
      <c r="A31" s="103" t="s">
        <v>185</v>
      </c>
      <c r="B31" s="59">
        <f>0.21*B11</f>
        <v>41224.162410151454</v>
      </c>
      <c r="C31" s="59">
        <f t="shared" ref="C31:G33" si="3">0.21*(C11-B11)</f>
        <v>10306.040602537858</v>
      </c>
      <c r="D31" s="59">
        <f t="shared" si="3"/>
        <v>1904.3044580225264</v>
      </c>
      <c r="E31" s="59">
        <f t="shared" si="3"/>
        <v>0</v>
      </c>
      <c r="F31" s="59">
        <f t="shared" si="3"/>
        <v>-2.3508262761964578</v>
      </c>
      <c r="G31" s="59">
        <f t="shared" si="3"/>
        <v>0</v>
      </c>
    </row>
    <row r="32" spans="1:7">
      <c r="A32" s="103" t="s">
        <v>186</v>
      </c>
      <c r="B32" s="59">
        <f>0.21*B12</f>
        <v>0</v>
      </c>
      <c r="C32" s="59">
        <f t="shared" si="3"/>
        <v>31928.476405040838</v>
      </c>
      <c r="D32" s="59">
        <f t="shared" si="3"/>
        <v>-741.91232233019866</v>
      </c>
      <c r="E32" s="59">
        <f t="shared" si="3"/>
        <v>0</v>
      </c>
      <c r="F32" s="59">
        <f t="shared" si="3"/>
        <v>-28.494863953916646</v>
      </c>
      <c r="G32" s="59">
        <f t="shared" si="3"/>
        <v>0</v>
      </c>
    </row>
    <row r="33" spans="1:7">
      <c r="A33" s="103" t="s">
        <v>187</v>
      </c>
      <c r="B33" s="59">
        <f>0.21*B13</f>
        <v>0</v>
      </c>
      <c r="C33" s="59">
        <f t="shared" si="3"/>
        <v>70560</v>
      </c>
      <c r="D33" s="59">
        <f t="shared" si="3"/>
        <v>-70560</v>
      </c>
      <c r="E33" s="59">
        <f t="shared" si="3"/>
        <v>0</v>
      </c>
      <c r="F33" s="59">
        <f t="shared" si="3"/>
        <v>0</v>
      </c>
      <c r="G33" s="59">
        <f t="shared" si="3"/>
        <v>0</v>
      </c>
    </row>
    <row r="34" spans="1:7">
      <c r="A34" s="100" t="s">
        <v>188</v>
      </c>
      <c r="B34" s="256">
        <f t="shared" ref="B34:G34" si="4">SUM(B30:B33)</f>
        <v>314875.7558884123</v>
      </c>
      <c r="C34" s="256">
        <f t="shared" si="4"/>
        <v>1621830.1843988826</v>
      </c>
      <c r="D34" s="256">
        <f t="shared" si="4"/>
        <v>-69397.607864307676</v>
      </c>
      <c r="E34" s="256">
        <f t="shared" si="4"/>
        <v>0</v>
      </c>
      <c r="F34" s="256">
        <f t="shared" si="4"/>
        <v>-30.845690230113103</v>
      </c>
      <c r="G34" s="256">
        <f t="shared" si="4"/>
        <v>0</v>
      </c>
    </row>
    <row r="35" spans="1:7">
      <c r="A35" s="103"/>
      <c r="B35" s="61"/>
      <c r="C35" s="61"/>
      <c r="D35" s="61"/>
      <c r="E35" s="61"/>
      <c r="F35" s="61"/>
      <c r="G35" s="62"/>
    </row>
    <row r="36" spans="1:7">
      <c r="A36" s="104" t="s">
        <v>189</v>
      </c>
      <c r="B36" s="64">
        <f t="shared" ref="B36:G36" si="5">B25+B34</f>
        <v>2351884.1172618042</v>
      </c>
      <c r="C36" s="64">
        <f t="shared" si="5"/>
        <v>11397665.265223123</v>
      </c>
      <c r="D36" s="64">
        <f t="shared" si="5"/>
        <v>-443243.81837069476</v>
      </c>
      <c r="E36" s="64">
        <f t="shared" si="5"/>
        <v>151.89055914245546</v>
      </c>
      <c r="F36" s="64">
        <f t="shared" si="5"/>
        <v>469.12626820409611</v>
      </c>
      <c r="G36" s="64">
        <f t="shared" si="5"/>
        <v>21.340049400925636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workbookViewId="0">
      <selection activeCell="C21" sqref="C21"/>
    </sheetView>
  </sheetViews>
  <sheetFormatPr baseColWidth="10" defaultColWidth="11.42578125" defaultRowHeight="12.75"/>
  <cols>
    <col min="1" max="1" width="28.140625" style="14" customWidth="1"/>
    <col min="2" max="2" width="14" style="14" customWidth="1"/>
    <col min="3" max="3" width="17.28515625" style="14" customWidth="1"/>
    <col min="4" max="4" width="17" style="14" customWidth="1"/>
    <col min="5" max="8" width="14" style="14" customWidth="1"/>
    <col min="9" max="9" width="19.140625" style="14" customWidth="1"/>
    <col min="10" max="10" width="17.42578125" style="14" customWidth="1"/>
    <col min="11" max="16384" width="11.42578125" style="14"/>
  </cols>
  <sheetData>
    <row r="1" spans="1:9">
      <c r="A1" s="1" t="s">
        <v>0</v>
      </c>
      <c r="B1"/>
      <c r="C1"/>
      <c r="D1"/>
      <c r="G1" s="2">
        <f>InfoInicial!E1</f>
        <v>0</v>
      </c>
    </row>
    <row r="3" spans="1:9" ht="15.75">
      <c r="A3" s="53" t="s">
        <v>190</v>
      </c>
      <c r="B3" s="54"/>
      <c r="C3" s="54"/>
      <c r="D3" s="54"/>
      <c r="E3" s="54"/>
      <c r="F3" s="54"/>
      <c r="G3" s="54"/>
      <c r="H3" s="54"/>
      <c r="I3" s="55"/>
    </row>
    <row r="4" spans="1:9" ht="25.5">
      <c r="A4" s="56" t="s">
        <v>89</v>
      </c>
      <c r="B4" s="105" t="s">
        <v>191</v>
      </c>
      <c r="C4" s="105" t="s">
        <v>192</v>
      </c>
      <c r="D4" s="17" t="s">
        <v>49</v>
      </c>
      <c r="E4" s="17" t="s">
        <v>90</v>
      </c>
      <c r="F4" s="17" t="s">
        <v>91</v>
      </c>
      <c r="G4" s="17" t="s">
        <v>92</v>
      </c>
      <c r="H4" s="106" t="s">
        <v>93</v>
      </c>
      <c r="I4" s="18" t="s">
        <v>193</v>
      </c>
    </row>
    <row r="5" spans="1:9">
      <c r="A5" s="100" t="s">
        <v>194</v>
      </c>
      <c r="B5" s="101"/>
      <c r="C5" s="101"/>
      <c r="D5" s="101"/>
      <c r="E5" s="101"/>
      <c r="F5" s="101"/>
      <c r="G5" s="101"/>
      <c r="H5" s="107"/>
      <c r="I5" s="102"/>
    </row>
    <row r="6" spans="1:9">
      <c r="A6" s="108" t="s">
        <v>195</v>
      </c>
      <c r="B6" s="59">
        <v>0</v>
      </c>
      <c r="C6" s="59">
        <f>'E-Inv AF y Am'!B20+'E-Inv AF y Am'!D20</f>
        <v>23941975.1446</v>
      </c>
      <c r="D6" s="59">
        <v>0</v>
      </c>
      <c r="E6" s="59">
        <v>0</v>
      </c>
      <c r="F6" s="59">
        <v>0</v>
      </c>
      <c r="G6" s="59">
        <v>0</v>
      </c>
      <c r="H6" s="59">
        <v>0</v>
      </c>
      <c r="I6" s="60">
        <f>SUM(B6:H6)</f>
        <v>23941975.1446</v>
      </c>
    </row>
    <row r="7" spans="1:9">
      <c r="A7" s="108" t="s">
        <v>196</v>
      </c>
      <c r="B7" s="59">
        <f>'E-Inv AF y Am'!B23</f>
        <v>0</v>
      </c>
      <c r="C7" s="59">
        <f>SUM('E-Inv AF y Am'!B31:E31)-'E-Inv AF y Am'!B23</f>
        <v>31200</v>
      </c>
      <c r="D7" s="59">
        <v>0</v>
      </c>
      <c r="E7" s="59">
        <v>0</v>
      </c>
      <c r="F7" s="59">
        <v>0</v>
      </c>
      <c r="G7" s="59">
        <v>0</v>
      </c>
      <c r="H7" s="59">
        <v>0</v>
      </c>
      <c r="I7" s="60">
        <f t="shared" ref="I7:I25" si="0">SUM(B7:H7)</f>
        <v>31200</v>
      </c>
    </row>
    <row r="8" spans="1:9">
      <c r="A8" s="100" t="s">
        <v>197</v>
      </c>
      <c r="B8" s="59">
        <f t="shared" ref="B8:H8" si="1">B6+B7</f>
        <v>0</v>
      </c>
      <c r="C8" s="59">
        <f t="shared" si="1"/>
        <v>23973175.1446</v>
      </c>
      <c r="D8" s="59">
        <f t="shared" si="1"/>
        <v>0</v>
      </c>
      <c r="E8" s="59">
        <f t="shared" si="1"/>
        <v>0</v>
      </c>
      <c r="F8" s="59">
        <f t="shared" si="1"/>
        <v>0</v>
      </c>
      <c r="G8" s="59">
        <f t="shared" si="1"/>
        <v>0</v>
      </c>
      <c r="H8" s="59">
        <f t="shared" si="1"/>
        <v>0</v>
      </c>
      <c r="I8" s="60">
        <f t="shared" si="0"/>
        <v>23973175.1446</v>
      </c>
    </row>
    <row r="9" spans="1:9">
      <c r="A9" s="108"/>
      <c r="B9" s="80"/>
      <c r="C9" s="80"/>
      <c r="D9" s="80"/>
      <c r="E9" s="80"/>
      <c r="F9" s="80"/>
      <c r="G9" s="80"/>
      <c r="H9" s="110"/>
      <c r="I9" s="60"/>
    </row>
    <row r="10" spans="1:9">
      <c r="A10" s="100" t="s">
        <v>198</v>
      </c>
      <c r="B10" s="59"/>
      <c r="C10" s="59"/>
      <c r="D10" s="59"/>
      <c r="E10" s="59"/>
      <c r="F10" s="59"/>
      <c r="G10" s="59"/>
      <c r="H10" s="109"/>
      <c r="I10" s="60"/>
    </row>
    <row r="11" spans="1:9">
      <c r="A11" s="108" t="s">
        <v>199</v>
      </c>
      <c r="C11" s="59">
        <f>'E-InvAT'!B6</f>
        <v>537600</v>
      </c>
      <c r="D11" s="59">
        <f>'E-InvAT'!C6-'E-InvAT'!B6</f>
        <v>134400</v>
      </c>
      <c r="E11" s="59">
        <f>'E-InvAT'!D6-'E-InvAT'!C6</f>
        <v>0</v>
      </c>
      <c r="F11" s="59">
        <f>'E-InvAT'!E6-'E-InvAT'!D6</f>
        <v>0</v>
      </c>
      <c r="G11" s="59">
        <f>'E-InvAT'!F6-'E-InvAT'!E6</f>
        <v>0</v>
      </c>
      <c r="H11" s="59">
        <f>'E-InvAT'!G6-'E-InvAT'!F6</f>
        <v>0</v>
      </c>
      <c r="I11" s="60">
        <f t="shared" si="0"/>
        <v>672000</v>
      </c>
    </row>
    <row r="12" spans="1:9">
      <c r="A12" s="108" t="s">
        <v>200</v>
      </c>
      <c r="B12" s="59">
        <v>0</v>
      </c>
      <c r="C12" s="59">
        <v>0</v>
      </c>
      <c r="D12" s="59">
        <f>'E-InvAT'!C7-'E-InvAT'!B7</f>
        <v>2761643.8356164382</v>
      </c>
      <c r="E12" s="59">
        <f>'E-InvAT'!D7-'E-InvAT'!C7</f>
        <v>0</v>
      </c>
      <c r="F12" s="59">
        <f>'E-InvAT'!E7-'E-InvAT'!D7</f>
        <v>0</v>
      </c>
      <c r="G12" s="59">
        <f>'E-InvAT'!F7-'E-InvAT'!E7</f>
        <v>0</v>
      </c>
      <c r="H12" s="59">
        <f>'E-InvAT'!G7-'E-InvAT'!F7</f>
        <v>0</v>
      </c>
      <c r="I12" s="60">
        <f t="shared" si="0"/>
        <v>2761643.8356164382</v>
      </c>
    </row>
    <row r="13" spans="1:9">
      <c r="A13" s="108" t="s">
        <v>201</v>
      </c>
      <c r="B13" s="59"/>
      <c r="C13" s="59"/>
      <c r="D13" s="59"/>
      <c r="E13" s="59"/>
      <c r="F13" s="59"/>
      <c r="G13" s="59"/>
      <c r="H13" s="109"/>
      <c r="I13" s="60"/>
    </row>
    <row r="14" spans="1:9">
      <c r="A14" s="108" t="s">
        <v>202</v>
      </c>
      <c r="B14" s="59"/>
      <c r="C14" s="59">
        <f>'E-InvAT'!B10</f>
        <v>1303102.8260869565</v>
      </c>
      <c r="D14" s="59">
        <f>'E-InvAT'!C10-'E-InvAT'!B10</f>
        <v>7185884.1304347813</v>
      </c>
      <c r="E14" s="59">
        <f>'E-InvAT'!D10-'E-InvAT'!C10</f>
        <v>0</v>
      </c>
      <c r="F14" s="59">
        <f>'E-InvAT'!E10-'E-InvAT'!D10</f>
        <v>0</v>
      </c>
      <c r="G14" s="59">
        <f>'E-InvAT'!F10-'E-InvAT'!E10</f>
        <v>0</v>
      </c>
      <c r="H14" s="59">
        <f>'E-InvAT'!G10-'E-InvAT'!F10</f>
        <v>0</v>
      </c>
      <c r="I14" s="60">
        <f t="shared" si="0"/>
        <v>8488986.9565217383</v>
      </c>
    </row>
    <row r="15" spans="1:9">
      <c r="A15" s="108" t="s">
        <v>203</v>
      </c>
      <c r="B15" s="59"/>
      <c r="C15" s="59">
        <f>'E-InvAT'!B11</f>
        <v>196305.53528643551</v>
      </c>
      <c r="D15" s="59">
        <f>'E-InvAT'!C11-'E-InvAT'!B11</f>
        <v>49076.383821608848</v>
      </c>
      <c r="E15" s="59">
        <f>'E-InvAT'!D11-'E-InvAT'!C11</f>
        <v>9068.1164667739358</v>
      </c>
      <c r="F15" s="59">
        <f>'E-InvAT'!E11-'E-InvAT'!D11</f>
        <v>0</v>
      </c>
      <c r="G15" s="59">
        <f>'E-InvAT'!F11-'E-InvAT'!E11</f>
        <v>-11.194410839030752</v>
      </c>
      <c r="H15" s="59">
        <f>'E-InvAT'!G11-'E-InvAT'!F11</f>
        <v>0</v>
      </c>
      <c r="I15" s="60">
        <f t="shared" si="0"/>
        <v>254438.84116397926</v>
      </c>
    </row>
    <row r="16" spans="1:9">
      <c r="A16" s="108" t="s">
        <v>204</v>
      </c>
      <c r="B16" s="59"/>
      <c r="C16" s="59">
        <f>'E-InvAT'!B12</f>
        <v>0</v>
      </c>
      <c r="D16" s="59">
        <f>'E-InvAT'!C12-'E-InvAT'!B12</f>
        <v>152040.36383352781</v>
      </c>
      <c r="E16" s="59">
        <f>'E-InvAT'!D12-'E-InvAT'!C12</f>
        <v>-3532.9158206199936</v>
      </c>
      <c r="F16" s="59">
        <f>'E-InvAT'!E12-'E-InvAT'!D12</f>
        <v>0</v>
      </c>
      <c r="G16" s="59">
        <f>'E-InvAT'!F12-'E-InvAT'!E12</f>
        <v>-135.68982835198403</v>
      </c>
      <c r="H16" s="59">
        <f>'E-InvAT'!G12-'E-InvAT'!F12</f>
        <v>0</v>
      </c>
      <c r="I16" s="60">
        <f t="shared" si="0"/>
        <v>148371.75818455583</v>
      </c>
    </row>
    <row r="17" spans="1:9">
      <c r="A17" s="108" t="s">
        <v>205</v>
      </c>
      <c r="B17" s="59"/>
      <c r="C17" s="59">
        <f>'E-InvAT'!B13</f>
        <v>0</v>
      </c>
      <c r="D17" s="59">
        <f>'E-InvAT'!C13-'E-InvAT'!B13</f>
        <v>336000</v>
      </c>
      <c r="E17" s="59">
        <f>'E-InvAT'!D13-'E-InvAT'!C13</f>
        <v>-336000</v>
      </c>
      <c r="F17" s="59">
        <f>'E-InvAT'!E13-'E-InvAT'!D13</f>
        <v>0</v>
      </c>
      <c r="G17" s="59">
        <f>'E-InvAT'!F13-'E-InvAT'!E13</f>
        <v>0</v>
      </c>
      <c r="H17" s="59">
        <f>'E-InvAT'!G13-'E-InvAT'!F13</f>
        <v>0</v>
      </c>
      <c r="I17" s="60">
        <f t="shared" si="0"/>
        <v>0</v>
      </c>
    </row>
    <row r="18" spans="1:9">
      <c r="A18" s="100" t="s">
        <v>206</v>
      </c>
      <c r="B18" s="59"/>
      <c r="C18" s="59">
        <f>SUM(C11:C17)</f>
        <v>2037008.3613733919</v>
      </c>
      <c r="D18" s="59">
        <f t="shared" ref="D18:H18" si="2">SUM(D11:D17)</f>
        <v>10619044.713706356</v>
      </c>
      <c r="E18" s="59">
        <f t="shared" si="2"/>
        <v>-330464.79935384606</v>
      </c>
      <c r="F18" s="59">
        <f t="shared" si="2"/>
        <v>0</v>
      </c>
      <c r="G18" s="59">
        <f t="shared" si="2"/>
        <v>-146.88423919101479</v>
      </c>
      <c r="H18" s="59">
        <f t="shared" si="2"/>
        <v>0</v>
      </c>
      <c r="I18" s="60">
        <f t="shared" si="0"/>
        <v>12325441.39148671</v>
      </c>
    </row>
    <row r="19" spans="1:9">
      <c r="A19" s="108"/>
      <c r="B19" s="80"/>
      <c r="C19" s="80"/>
      <c r="D19" s="80"/>
      <c r="E19" s="80"/>
      <c r="F19" s="80"/>
      <c r="G19" s="80"/>
      <c r="H19" s="110"/>
      <c r="I19" s="60"/>
    </row>
    <row r="20" spans="1:9">
      <c r="A20" s="100" t="s">
        <v>207</v>
      </c>
      <c r="B20" s="80"/>
      <c r="C20" s="80"/>
      <c r="D20" s="80"/>
      <c r="E20" s="80"/>
      <c r="F20" s="80"/>
      <c r="G20" s="80"/>
      <c r="H20" s="110"/>
      <c r="I20" s="60"/>
    </row>
    <row r="21" spans="1:9">
      <c r="A21" s="108" t="s">
        <v>208</v>
      </c>
      <c r="B21" s="59">
        <f>0.21*B8</f>
        <v>0</v>
      </c>
      <c r="C21" s="59">
        <f t="shared" ref="C21:H21" si="3">0.21*C8</f>
        <v>5034366.7803659998</v>
      </c>
      <c r="D21" s="59">
        <f t="shared" si="3"/>
        <v>0</v>
      </c>
      <c r="E21" s="59">
        <f t="shared" si="3"/>
        <v>0</v>
      </c>
      <c r="F21" s="59">
        <f t="shared" si="3"/>
        <v>0</v>
      </c>
      <c r="G21" s="59">
        <f t="shared" si="3"/>
        <v>0</v>
      </c>
      <c r="H21" s="59">
        <f t="shared" si="3"/>
        <v>0</v>
      </c>
      <c r="I21" s="60">
        <f t="shared" si="0"/>
        <v>5034366.7803659998</v>
      </c>
    </row>
    <row r="22" spans="1:9">
      <c r="A22" s="108" t="s">
        <v>209</v>
      </c>
      <c r="C22" s="59">
        <f>'E-InvAT'!B34</f>
        <v>314875.7558884123</v>
      </c>
      <c r="D22" s="59">
        <f>'E-InvAT'!C34</f>
        <v>1621830.1843988826</v>
      </c>
      <c r="E22" s="59">
        <f>'E-InvAT'!D34</f>
        <v>-69397.607864307676</v>
      </c>
      <c r="F22" s="59">
        <f>'E-InvAT'!E34</f>
        <v>0</v>
      </c>
      <c r="G22" s="59">
        <f>'E-InvAT'!F34</f>
        <v>-30.845690230113103</v>
      </c>
      <c r="H22" s="59">
        <f>'E-InvAT'!G34</f>
        <v>0</v>
      </c>
      <c r="I22" s="60">
        <f>SUM(C22:H22)</f>
        <v>1867277.486732757</v>
      </c>
    </row>
    <row r="23" spans="1:9">
      <c r="A23" s="100" t="s">
        <v>210</v>
      </c>
      <c r="B23" s="59">
        <f>B21+B22</f>
        <v>0</v>
      </c>
      <c r="C23" s="59">
        <f t="shared" ref="C23:H23" si="4">C21+C22</f>
        <v>5349242.5362544125</v>
      </c>
      <c r="D23" s="59">
        <f t="shared" si="4"/>
        <v>1621830.1843988826</v>
      </c>
      <c r="E23" s="59">
        <f t="shared" si="4"/>
        <v>-69397.607864307676</v>
      </c>
      <c r="F23" s="59">
        <f t="shared" si="4"/>
        <v>0</v>
      </c>
      <c r="G23" s="59">
        <f t="shared" si="4"/>
        <v>-30.845690230113103</v>
      </c>
      <c r="H23" s="59">
        <f t="shared" si="4"/>
        <v>0</v>
      </c>
      <c r="I23" s="60">
        <f t="shared" si="0"/>
        <v>6901644.2670987584</v>
      </c>
    </row>
    <row r="24" spans="1:9">
      <c r="A24" s="100"/>
      <c r="B24" s="80"/>
      <c r="C24" s="80"/>
      <c r="D24" s="80"/>
      <c r="E24" s="80"/>
      <c r="F24" s="80"/>
      <c r="G24" s="80"/>
      <c r="H24" s="110"/>
      <c r="I24" s="60"/>
    </row>
    <row r="25" spans="1:9">
      <c r="A25" s="104" t="s">
        <v>211</v>
      </c>
      <c r="B25" s="64">
        <f>B23+B18+B8</f>
        <v>0</v>
      </c>
      <c r="C25" s="64">
        <f t="shared" ref="C25:H25" si="5">C23+C18+C8</f>
        <v>31359426.042227805</v>
      </c>
      <c r="D25" s="64">
        <f t="shared" si="5"/>
        <v>12240874.898105238</v>
      </c>
      <c r="E25" s="64">
        <f t="shared" si="5"/>
        <v>-399862.4072181537</v>
      </c>
      <c r="F25" s="64">
        <f t="shared" si="5"/>
        <v>0</v>
      </c>
      <c r="G25" s="64">
        <f t="shared" si="5"/>
        <v>-177.72992942112788</v>
      </c>
      <c r="H25" s="64">
        <f t="shared" si="5"/>
        <v>0</v>
      </c>
      <c r="I25" s="60">
        <f t="shared" si="0"/>
        <v>43200260.803185463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4</vt:i4>
      </vt:variant>
    </vt:vector>
  </HeadingPairs>
  <TitlesOfParts>
    <vt:vector size="29" baseType="lpstr">
      <vt:lpstr>Datos</vt:lpstr>
      <vt:lpstr>InfoInicial</vt:lpstr>
      <vt:lpstr>E-Inv AF y Am</vt:lpstr>
      <vt:lpstr>E-Costos</vt:lpstr>
      <vt:lpstr>gastos materiales</vt:lpstr>
      <vt:lpstr>gastos energia</vt:lpstr>
      <vt:lpstr>punto de equilibrio</vt:lpstr>
      <vt:lpstr>E-InvAT</vt:lpstr>
      <vt:lpstr>E-Cal Inv.</vt:lpstr>
      <vt:lpstr>E-IVA </vt:lpstr>
      <vt:lpstr>E-Form</vt:lpstr>
      <vt:lpstr>F-Cred</vt:lpstr>
      <vt:lpstr>Crédito edificio(no renovable)</vt:lpstr>
      <vt:lpstr>Crédito renovable</vt:lpstr>
      <vt:lpstr>F-CRes</vt:lpstr>
      <vt:lpstr>F-2 Estructura</vt:lpstr>
      <vt:lpstr>F-IVA</vt:lpstr>
      <vt:lpstr>F- CFyU</vt:lpstr>
      <vt:lpstr>F-Balance</vt:lpstr>
      <vt:lpstr>F- Form</vt:lpstr>
      <vt:lpstr>Consumo MP</vt:lpstr>
      <vt:lpstr>Cuadro resumen</vt:lpstr>
      <vt:lpstr>Stocks Mp</vt:lpstr>
      <vt:lpstr>Salarios</vt:lpstr>
      <vt:lpstr>Bienes de uso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saenz</dc:creator>
  <cp:lastModifiedBy>Elias</cp:lastModifiedBy>
  <cp:revision/>
  <dcterms:created xsi:type="dcterms:W3CDTF">2016-09-16T11:18:23Z</dcterms:created>
  <dcterms:modified xsi:type="dcterms:W3CDTF">2016-11-11T16:45:22Z</dcterms:modified>
</cp:coreProperties>
</file>