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60069285\Downloads\"/>
    </mc:Choice>
  </mc:AlternateContent>
  <bookViews>
    <workbookView xWindow="0" yWindow="0" windowWidth="28800" windowHeight="12300" tabRatio="697"/>
  </bookViews>
  <sheets>
    <sheet name="InfoInicial" sheetId="1" r:id="rId1"/>
    <sheet name="E-Inv AF y Am" sheetId="2" r:id="rId2"/>
    <sheet name="Info-Inv AF y Am" sheetId="15" r:id="rId3"/>
    <sheet name="E-Costos" sheetId="3" r:id="rId4"/>
    <sheet name="Info-Costos" sheetId="16" r:id="rId5"/>
    <sheet name="E-InvAT" sheetId="4" r:id="rId6"/>
    <sheet name="Info-InvAT" sheetId="17" r:id="rId7"/>
    <sheet name="E-Cal Inv." sheetId="5" r:id="rId8"/>
    <sheet name="E-IVA " sheetId="6" r:id="rId9"/>
    <sheet name="E-Form" sheetId="7" r:id="rId10"/>
    <sheet name="F-Cred" sheetId="8" r:id="rId11"/>
    <sheet name="F-CRes" sheetId="9" r:id="rId12"/>
    <sheet name="F-2 Estructura" sheetId="10" r:id="rId13"/>
    <sheet name="F-IVA" sheetId="11" r:id="rId14"/>
    <sheet name="F- CFyU" sheetId="12" r:id="rId15"/>
    <sheet name="F-Balance" sheetId="13" r:id="rId16"/>
    <sheet name="F- Form" sheetId="14" r:id="rId17"/>
  </sheets>
  <definedNames>
    <definedName name="Excel_BuiltIn_Print_Area" localSheetId="14">('F- CFyU'!#REF!,'F- CFyU'!#REF!,'F- CFyU'!$A$3:$H$28)</definedName>
    <definedName name="Excel_BuiltIn_Print_Area" localSheetId="15">('F-Balance'!#REF!,'F-Balance'!#REF!,'F-Balance'!$A$3:$G$35)</definedName>
    <definedName name="_xlnm.Print_Area" localSheetId="3">('E-Costos'!$A$3:$G$47,'E-Costos'!$A$50:$F$81,'E-Costos'!$A$84:$F$136)</definedName>
    <definedName name="_xlnm.Print_Area" localSheetId="14">'F- CFyU'!$A$3:$H$28</definedName>
    <definedName name="_xlnm.Print_Area" localSheetId="15">'F-Balance'!$A$3:$G$35</definedName>
    <definedName name="_xlnm.Print_Area" localSheetId="10">'F-Cred'!$A$1:$I$54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1" i="2" l="1"/>
  <c r="C53" i="2"/>
  <c r="J11" i="7"/>
  <c r="G44" i="2"/>
  <c r="E44" i="2"/>
  <c r="M4" i="7" l="1"/>
  <c r="L4" i="7"/>
  <c r="J9" i="7"/>
  <c r="J8" i="7"/>
  <c r="J7" i="7"/>
  <c r="J6" i="7"/>
  <c r="J5" i="7"/>
  <c r="G4" i="7"/>
  <c r="D9" i="7"/>
  <c r="D8" i="7"/>
  <c r="D7" i="7"/>
  <c r="D6" i="7"/>
  <c r="D5" i="7"/>
  <c r="D4" i="7"/>
  <c r="C11" i="7"/>
  <c r="C9" i="7"/>
  <c r="B4" i="7"/>
  <c r="C4" i="7"/>
  <c r="B5" i="7"/>
  <c r="C5" i="7"/>
  <c r="B6" i="7"/>
  <c r="C6" i="7"/>
  <c r="B7" i="7"/>
  <c r="C7" i="7"/>
  <c r="B8" i="7"/>
  <c r="C8" i="7"/>
  <c r="G30" i="6"/>
  <c r="F30" i="6"/>
  <c r="E30" i="6"/>
  <c r="D30" i="6"/>
  <c r="C30" i="6"/>
  <c r="B30" i="6"/>
  <c r="B26" i="6"/>
  <c r="G28" i="6"/>
  <c r="F28" i="6"/>
  <c r="E28" i="6"/>
  <c r="E25" i="6"/>
  <c r="F25" i="6" s="1"/>
  <c r="G25" i="6" s="1"/>
  <c r="B27" i="6"/>
  <c r="C25" i="6" s="1"/>
  <c r="G26" i="6"/>
  <c r="F26" i="6"/>
  <c r="E26" i="6"/>
  <c r="D26" i="6"/>
  <c r="C26" i="6"/>
  <c r="G23" i="6"/>
  <c r="F23" i="6"/>
  <c r="E23" i="6"/>
  <c r="D23" i="6"/>
  <c r="C23" i="6"/>
  <c r="G22" i="6"/>
  <c r="F22" i="6"/>
  <c r="E22" i="6"/>
  <c r="D22" i="6"/>
  <c r="C22" i="6"/>
  <c r="G21" i="6"/>
  <c r="F21" i="6"/>
  <c r="E21" i="6"/>
  <c r="D21" i="6"/>
  <c r="C21" i="6"/>
  <c r="G19" i="6"/>
  <c r="F19" i="6"/>
  <c r="E19" i="6"/>
  <c r="D19" i="6"/>
  <c r="C19" i="6"/>
  <c r="G18" i="6"/>
  <c r="F18" i="6"/>
  <c r="E18" i="6"/>
  <c r="D18" i="6"/>
  <c r="C18" i="6"/>
  <c r="G17" i="6"/>
  <c r="F17" i="6"/>
  <c r="E17" i="6"/>
  <c r="D17" i="6"/>
  <c r="C17" i="6"/>
  <c r="G16" i="6"/>
  <c r="F16" i="6"/>
  <c r="E16" i="6"/>
  <c r="D16" i="6"/>
  <c r="C16" i="6"/>
  <c r="G15" i="6"/>
  <c r="F15" i="6"/>
  <c r="E15" i="6"/>
  <c r="D15" i="6"/>
  <c r="C15" i="6"/>
  <c r="C13" i="6"/>
  <c r="G12" i="6"/>
  <c r="F12" i="6"/>
  <c r="E12" i="6"/>
  <c r="D12" i="6"/>
  <c r="C12" i="6"/>
  <c r="G8" i="6"/>
  <c r="F8" i="6"/>
  <c r="E8" i="6"/>
  <c r="D8" i="6"/>
  <c r="C8" i="6"/>
  <c r="G7" i="6"/>
  <c r="F7" i="6"/>
  <c r="E7" i="6"/>
  <c r="D7" i="6"/>
  <c r="C7" i="6"/>
  <c r="G6" i="6"/>
  <c r="F6" i="6"/>
  <c r="E6" i="6"/>
  <c r="D6" i="6"/>
  <c r="C6" i="6"/>
  <c r="I23" i="5"/>
  <c r="I22" i="5"/>
  <c r="I21" i="5"/>
  <c r="I18" i="5"/>
  <c r="I17" i="5"/>
  <c r="I16" i="5"/>
  <c r="I15" i="5"/>
  <c r="I14" i="5"/>
  <c r="I11" i="5"/>
  <c r="H25" i="5"/>
  <c r="G25" i="5"/>
  <c r="F25" i="5"/>
  <c r="E25" i="5"/>
  <c r="D25" i="5"/>
  <c r="C25" i="5"/>
  <c r="B25" i="5"/>
  <c r="H23" i="5"/>
  <c r="G23" i="5"/>
  <c r="F23" i="5"/>
  <c r="E23" i="5"/>
  <c r="D23" i="5"/>
  <c r="C23" i="5"/>
  <c r="B23" i="5"/>
  <c r="H22" i="5"/>
  <c r="G22" i="5"/>
  <c r="F22" i="5"/>
  <c r="E22" i="5"/>
  <c r="D22" i="5"/>
  <c r="C22" i="5"/>
  <c r="B18" i="5"/>
  <c r="B22" i="5" s="1"/>
  <c r="H21" i="5"/>
  <c r="G21" i="5"/>
  <c r="F21" i="5"/>
  <c r="E21" i="5"/>
  <c r="D21" i="5"/>
  <c r="C21" i="5"/>
  <c r="B21" i="5"/>
  <c r="H18" i="5"/>
  <c r="G18" i="5"/>
  <c r="F18" i="5"/>
  <c r="E18" i="5"/>
  <c r="D18" i="5"/>
  <c r="C18" i="5"/>
  <c r="H17" i="5"/>
  <c r="G17" i="5"/>
  <c r="F17" i="5"/>
  <c r="E17" i="5"/>
  <c r="D17" i="5"/>
  <c r="H16" i="5"/>
  <c r="G16" i="5"/>
  <c r="F16" i="5"/>
  <c r="E16" i="5"/>
  <c r="D16" i="5"/>
  <c r="H15" i="5"/>
  <c r="G15" i="5"/>
  <c r="F15" i="5"/>
  <c r="E15" i="5"/>
  <c r="D15" i="5"/>
  <c r="C17" i="5"/>
  <c r="C16" i="5"/>
  <c r="C15" i="5"/>
  <c r="H14" i="5"/>
  <c r="G14" i="5"/>
  <c r="F14" i="5"/>
  <c r="E14" i="5"/>
  <c r="D14" i="5"/>
  <c r="C14" i="5"/>
  <c r="H11" i="5"/>
  <c r="G11" i="5"/>
  <c r="F11" i="5"/>
  <c r="E11" i="5"/>
  <c r="D11" i="5"/>
  <c r="C11" i="5"/>
  <c r="I8" i="5"/>
  <c r="H8" i="5"/>
  <c r="G8" i="5"/>
  <c r="F8" i="5"/>
  <c r="E8" i="5"/>
  <c r="D8" i="5"/>
  <c r="C8" i="5"/>
  <c r="B8" i="5"/>
  <c r="I7" i="5"/>
  <c r="D7" i="5"/>
  <c r="B7" i="5"/>
  <c r="C7" i="5"/>
  <c r="I6" i="5"/>
  <c r="C6" i="5"/>
  <c r="G39" i="17"/>
  <c r="F39" i="17"/>
  <c r="E39" i="17"/>
  <c r="D39" i="17"/>
  <c r="B36" i="4"/>
  <c r="C34" i="4"/>
  <c r="B34" i="4"/>
  <c r="E33" i="4"/>
  <c r="E34" i="4" s="1"/>
  <c r="D33" i="4"/>
  <c r="D34" i="4" s="1"/>
  <c r="C33" i="4"/>
  <c r="G33" i="4"/>
  <c r="G34" i="4" s="1"/>
  <c r="C39" i="17"/>
  <c r="G38" i="17"/>
  <c r="F38" i="17"/>
  <c r="E38" i="17"/>
  <c r="D38" i="17"/>
  <c r="C38" i="17"/>
  <c r="G36" i="17"/>
  <c r="F36" i="17"/>
  <c r="E36" i="17"/>
  <c r="D36" i="17"/>
  <c r="C36" i="17"/>
  <c r="G34" i="17"/>
  <c r="F34" i="17"/>
  <c r="E34" i="17"/>
  <c r="D34" i="17"/>
  <c r="G35" i="17"/>
  <c r="F35" i="17"/>
  <c r="E35" i="17"/>
  <c r="D35" i="17"/>
  <c r="C35" i="17"/>
  <c r="C34" i="17"/>
  <c r="G32" i="4"/>
  <c r="F32" i="4"/>
  <c r="E32" i="4"/>
  <c r="D32" i="4"/>
  <c r="C32" i="4"/>
  <c r="G31" i="4"/>
  <c r="F31" i="4"/>
  <c r="E31" i="4"/>
  <c r="D31" i="4"/>
  <c r="C31" i="4"/>
  <c r="B31" i="4"/>
  <c r="B30" i="4"/>
  <c r="G30" i="4"/>
  <c r="F30" i="4"/>
  <c r="E30" i="4"/>
  <c r="D30" i="4"/>
  <c r="C30" i="4"/>
  <c r="B25" i="4"/>
  <c r="G24" i="4"/>
  <c r="F24" i="4"/>
  <c r="E24" i="4"/>
  <c r="D24" i="4"/>
  <c r="C24" i="4"/>
  <c r="B24" i="4"/>
  <c r="B22" i="4"/>
  <c r="G15" i="4"/>
  <c r="F15" i="4"/>
  <c r="E15" i="4"/>
  <c r="D15" i="4"/>
  <c r="C15" i="4"/>
  <c r="B15" i="4"/>
  <c r="G13" i="4"/>
  <c r="F13" i="4"/>
  <c r="E13" i="4"/>
  <c r="D13" i="4"/>
  <c r="C13" i="4"/>
  <c r="G12" i="4"/>
  <c r="F12" i="4"/>
  <c r="E12" i="4"/>
  <c r="D12" i="4"/>
  <c r="C12" i="4"/>
  <c r="G11" i="4"/>
  <c r="F11" i="4"/>
  <c r="E11" i="4"/>
  <c r="D11" i="4"/>
  <c r="C11" i="4"/>
  <c r="B11" i="4" s="1"/>
  <c r="G10" i="4"/>
  <c r="F10" i="4"/>
  <c r="E10" i="4"/>
  <c r="D10" i="4"/>
  <c r="C10" i="4"/>
  <c r="B10" i="4"/>
  <c r="G7" i="4"/>
  <c r="F7" i="4"/>
  <c r="E7" i="4"/>
  <c r="D7" i="4"/>
  <c r="C7" i="4"/>
  <c r="G6" i="4"/>
  <c r="F6" i="4"/>
  <c r="E6" i="4"/>
  <c r="D6" i="4"/>
  <c r="C6" i="4"/>
  <c r="B6" i="4" s="1"/>
  <c r="D11" i="7" l="1"/>
  <c r="C27" i="6"/>
  <c r="D25" i="6" s="1"/>
  <c r="D28" i="6" s="1"/>
  <c r="C28" i="6"/>
  <c r="B28" i="6"/>
  <c r="F33" i="4"/>
  <c r="F34" i="4" s="1"/>
  <c r="I25" i="5" l="1"/>
  <c r="F91" i="3" l="1"/>
  <c r="E91" i="3"/>
  <c r="D91" i="3"/>
  <c r="C91" i="3"/>
  <c r="B91" i="3"/>
  <c r="F88" i="3"/>
  <c r="L143" i="3" s="1"/>
  <c r="E88" i="3"/>
  <c r="B88" i="3"/>
  <c r="E143" i="3" s="1"/>
  <c r="F87" i="3"/>
  <c r="E87" i="3"/>
  <c r="D87" i="3"/>
  <c r="C87" i="3"/>
  <c r="B87" i="3"/>
  <c r="F86" i="3"/>
  <c r="H143" i="3" s="1"/>
  <c r="E86" i="3"/>
  <c r="D86" i="3"/>
  <c r="D88" i="3" s="1"/>
  <c r="C86" i="3"/>
  <c r="C88" i="3" s="1"/>
  <c r="B86" i="3"/>
  <c r="A143" i="3" s="1"/>
  <c r="F75" i="3"/>
  <c r="E75" i="3"/>
  <c r="D75" i="3"/>
  <c r="C75" i="3"/>
  <c r="B75" i="3"/>
  <c r="F74" i="3"/>
  <c r="E74" i="3"/>
  <c r="D74" i="3"/>
  <c r="C74" i="3"/>
  <c r="B74" i="3"/>
  <c r="F72" i="3"/>
  <c r="E72" i="3"/>
  <c r="D72" i="3"/>
  <c r="C72" i="3"/>
  <c r="B72" i="3"/>
  <c r="F71" i="3"/>
  <c r="E71" i="3"/>
  <c r="D71" i="3"/>
  <c r="C71" i="3"/>
  <c r="B71" i="3"/>
  <c r="F69" i="3"/>
  <c r="E69" i="3"/>
  <c r="D69" i="3"/>
  <c r="C69" i="3"/>
  <c r="F52" i="3" l="1"/>
  <c r="E52" i="3"/>
  <c r="D52" i="3"/>
  <c r="C52" i="3"/>
  <c r="B52" i="3"/>
  <c r="B69" i="3"/>
  <c r="F58" i="3"/>
  <c r="E58" i="3"/>
  <c r="D58" i="3"/>
  <c r="C58" i="3"/>
  <c r="B58" i="3"/>
  <c r="F57" i="3"/>
  <c r="E57" i="3"/>
  <c r="D57" i="3"/>
  <c r="C57" i="3"/>
  <c r="B57" i="3"/>
  <c r="F55" i="3"/>
  <c r="E55" i="3"/>
  <c r="D55" i="3"/>
  <c r="C55" i="3"/>
  <c r="B55" i="3"/>
  <c r="F54" i="3"/>
  <c r="E54" i="3"/>
  <c r="D54" i="3"/>
  <c r="C54" i="3"/>
  <c r="B54" i="3"/>
  <c r="B101" i="3"/>
  <c r="H123" i="16"/>
  <c r="I123" i="16"/>
  <c r="F33" i="3"/>
  <c r="E33" i="3"/>
  <c r="D33" i="3"/>
  <c r="C33" i="3"/>
  <c r="B33" i="3"/>
  <c r="G31" i="3"/>
  <c r="F31" i="3"/>
  <c r="E31" i="3"/>
  <c r="D31" i="3"/>
  <c r="C31" i="3"/>
  <c r="B31" i="3"/>
  <c r="F29" i="3"/>
  <c r="E29" i="3"/>
  <c r="D29" i="3"/>
  <c r="C29" i="3"/>
  <c r="B29" i="3"/>
  <c r="E36" i="16"/>
  <c r="E27" i="16"/>
  <c r="E21" i="16"/>
  <c r="F17" i="16"/>
  <c r="J11" i="16"/>
  <c r="K10" i="16"/>
  <c r="M11" i="16"/>
  <c r="B57" i="16"/>
  <c r="I14" i="16"/>
  <c r="D12" i="17" l="1"/>
  <c r="D10" i="17"/>
  <c r="D9" i="17"/>
  <c r="D22" i="17"/>
  <c r="G50" i="2"/>
  <c r="C49" i="2"/>
  <c r="C45" i="2"/>
  <c r="C46" i="2"/>
  <c r="C47" i="2"/>
  <c r="C48" i="2"/>
  <c r="C44" i="2"/>
  <c r="D13" i="17" l="1"/>
  <c r="B28" i="2"/>
  <c r="B27" i="2"/>
  <c r="C26" i="2"/>
  <c r="B25" i="2"/>
  <c r="B24" i="2"/>
  <c r="B23" i="2"/>
  <c r="C29" i="2" l="1"/>
  <c r="C31" i="2" s="1"/>
  <c r="C33" i="2" s="1"/>
  <c r="C34" i="2" s="1"/>
  <c r="C36" i="2" s="1"/>
  <c r="B29" i="2"/>
  <c r="B7" i="3"/>
  <c r="B90" i="3" s="1"/>
  <c r="C7" i="3"/>
  <c r="C90" i="3" s="1"/>
  <c r="N95" i="16"/>
  <c r="E7" i="3"/>
  <c r="E90" i="3" s="1"/>
  <c r="D7" i="3"/>
  <c r="D90" i="3" s="1"/>
  <c r="N108" i="16"/>
  <c r="F7" i="3"/>
  <c r="F90" i="3" s="1"/>
  <c r="B8" i="2"/>
  <c r="B7" i="2"/>
  <c r="E25" i="3" l="1"/>
  <c r="D25" i="3"/>
  <c r="C25" i="3"/>
  <c r="F25" i="3"/>
  <c r="B25" i="3"/>
  <c r="B53" i="2"/>
  <c r="B44" i="2"/>
  <c r="B9" i="2"/>
  <c r="B45" i="2" s="1"/>
  <c r="H124" i="16"/>
  <c r="B154" i="16"/>
  <c r="F151" i="16" s="1"/>
  <c r="B43" i="2"/>
  <c r="G82" i="16"/>
  <c r="G83" i="16" s="1"/>
  <c r="G77" i="16"/>
  <c r="G76" i="16"/>
  <c r="B49" i="16"/>
  <c r="N102" i="16"/>
  <c r="N96" i="16"/>
  <c r="N94" i="16"/>
  <c r="N103" i="16" s="1"/>
  <c r="B87" i="16"/>
  <c r="B79" i="16"/>
  <c r="G75" i="16"/>
  <c r="G78" i="16" s="1"/>
  <c r="C70" i="16"/>
  <c r="E34" i="16"/>
  <c r="E33" i="16"/>
  <c r="E32" i="16"/>
  <c r="E25" i="16"/>
  <c r="E24" i="16"/>
  <c r="E19" i="16"/>
  <c r="E20" i="16" s="1"/>
  <c r="F15" i="16"/>
  <c r="F14" i="16"/>
  <c r="F13" i="16"/>
  <c r="F12" i="16"/>
  <c r="F11" i="16"/>
  <c r="F16" i="16" l="1"/>
  <c r="D44" i="2"/>
  <c r="D11" i="3"/>
  <c r="F11" i="3"/>
  <c r="E11" i="3"/>
  <c r="C11" i="3"/>
  <c r="D45" i="2"/>
  <c r="E45" i="2"/>
  <c r="G45" i="2" s="1"/>
  <c r="E43" i="2"/>
  <c r="D43" i="2"/>
  <c r="G43" i="2" s="1"/>
  <c r="D53" i="2"/>
  <c r="E53" i="2"/>
  <c r="E35" i="16"/>
  <c r="E26" i="16"/>
  <c r="B65" i="16" s="1"/>
  <c r="C65" i="16" s="1"/>
  <c r="G151" i="16"/>
  <c r="N105" i="16"/>
  <c r="N109" i="16" s="1"/>
  <c r="G25" i="3" s="1"/>
  <c r="B71" i="16"/>
  <c r="C71" i="16" s="1"/>
  <c r="I19" i="16"/>
  <c r="K19" i="16" s="1"/>
  <c r="I23" i="16" s="1"/>
  <c r="B51" i="16"/>
  <c r="F52" i="16" s="1"/>
  <c r="C64" i="16"/>
  <c r="F150" i="16"/>
  <c r="F152" i="16" s="1"/>
  <c r="G150" i="16"/>
  <c r="N148" i="16" l="1"/>
  <c r="N149" i="16" s="1"/>
  <c r="B15" i="3"/>
  <c r="I20" i="16"/>
  <c r="K20" i="16" s="1"/>
  <c r="I22" i="16" s="1"/>
  <c r="B11" i="3"/>
  <c r="G152" i="16"/>
  <c r="I11" i="16"/>
  <c r="B8" i="3"/>
  <c r="I10" i="16"/>
  <c r="F8" i="3"/>
  <c r="D8" i="3"/>
  <c r="C8" i="3"/>
  <c r="E8" i="3"/>
  <c r="C53" i="16"/>
  <c r="C54" i="16"/>
  <c r="C52" i="16"/>
  <c r="B58" i="16"/>
  <c r="B13" i="3" s="1"/>
  <c r="F53" i="16"/>
  <c r="I15" i="16" l="1"/>
  <c r="K11" i="16"/>
  <c r="G26" i="3"/>
  <c r="C26" i="3"/>
  <c r="B26" i="3"/>
  <c r="F26" i="3"/>
  <c r="E26" i="3"/>
  <c r="D26" i="3"/>
  <c r="H125" i="16"/>
  <c r="C13" i="3"/>
  <c r="E13" i="3"/>
  <c r="D13" i="3"/>
  <c r="F13" i="3"/>
  <c r="N153" i="16"/>
  <c r="N154" i="16" s="1"/>
  <c r="F15" i="3"/>
  <c r="D15" i="3"/>
  <c r="C15" i="3"/>
  <c r="E15" i="3"/>
  <c r="B59" i="16"/>
  <c r="B60" i="16"/>
  <c r="N56" i="16"/>
  <c r="N63" i="16" l="1"/>
  <c r="N64" i="16"/>
  <c r="N58" i="16"/>
  <c r="N65" i="16" l="1"/>
  <c r="G18" i="15" l="1"/>
  <c r="G19" i="15"/>
  <c r="G20" i="15"/>
  <c r="G17" i="15"/>
  <c r="B12" i="2" s="1"/>
  <c r="I63" i="15"/>
  <c r="I62" i="15"/>
  <c r="I61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8" i="15"/>
  <c r="B15" i="2" s="1"/>
  <c r="B47" i="2" s="1"/>
  <c r="G1" i="5"/>
  <c r="E3" i="3"/>
  <c r="G1" i="7"/>
  <c r="M19" i="7"/>
  <c r="M20" i="7"/>
  <c r="E1" i="2"/>
  <c r="E1" i="4"/>
  <c r="G1" i="6"/>
  <c r="E1" i="12"/>
  <c r="G1" i="14"/>
  <c r="L25" i="14"/>
  <c r="L26" i="14"/>
  <c r="L27" i="14"/>
  <c r="L28" i="14"/>
  <c r="L30" i="14"/>
  <c r="L31" i="14"/>
  <c r="L32" i="14"/>
  <c r="L33" i="14"/>
  <c r="L34" i="14"/>
  <c r="L36" i="14"/>
  <c r="D1" i="10"/>
  <c r="E1" i="13"/>
  <c r="B38" i="13"/>
  <c r="C38" i="13"/>
  <c r="D38" i="13"/>
  <c r="E38" i="13"/>
  <c r="F38" i="13"/>
  <c r="G38" i="13"/>
  <c r="F1" i="8"/>
  <c r="F1" i="9"/>
  <c r="E1" i="11"/>
  <c r="E47" i="2" l="1"/>
  <c r="D47" i="2"/>
  <c r="G47" i="2" s="1"/>
  <c r="B46" i="2"/>
  <c r="B14" i="2"/>
  <c r="B18" i="2" s="1"/>
  <c r="B49" i="2" s="1"/>
  <c r="B16" i="2"/>
  <c r="B48" i="2" s="1"/>
  <c r="E49" i="2" l="1"/>
  <c r="D49" i="2"/>
  <c r="E48" i="2"/>
  <c r="D48" i="2"/>
  <c r="B20" i="2"/>
  <c r="D46" i="2"/>
  <c r="D51" i="2" s="1"/>
  <c r="D56" i="2" s="1"/>
  <c r="E46" i="2"/>
  <c r="B51" i="2"/>
  <c r="B56" i="2" s="1"/>
  <c r="I6" i="7" l="1"/>
  <c r="I7" i="7"/>
  <c r="I5" i="7"/>
  <c r="E70" i="3"/>
  <c r="F70" i="3"/>
  <c r="D70" i="3"/>
  <c r="C70" i="3"/>
  <c r="B70" i="3"/>
  <c r="D53" i="3"/>
  <c r="C53" i="3"/>
  <c r="F53" i="3"/>
  <c r="B53" i="3"/>
  <c r="E53" i="3"/>
  <c r="D10" i="3"/>
  <c r="C10" i="3"/>
  <c r="B10" i="3"/>
  <c r="G46" i="2"/>
  <c r="G51" i="2" s="1"/>
  <c r="G56" i="2" s="1"/>
  <c r="B9" i="7" s="1"/>
  <c r="B11" i="7" s="1"/>
  <c r="B63" i="16"/>
  <c r="H122" i="16"/>
  <c r="H126" i="16" s="1"/>
  <c r="B69" i="16"/>
  <c r="B33" i="2"/>
  <c r="E51" i="2"/>
  <c r="E56" i="2" s="1"/>
  <c r="G48" i="2"/>
  <c r="G49" i="2"/>
  <c r="B125" i="3" l="1"/>
  <c r="F59" i="3"/>
  <c r="F61" i="3" s="1"/>
  <c r="E59" i="3"/>
  <c r="E61" i="3" s="1"/>
  <c r="D59" i="3"/>
  <c r="D61" i="3" s="1"/>
  <c r="C59" i="3"/>
  <c r="C61" i="3" s="1"/>
  <c r="B59" i="3"/>
  <c r="B61" i="3" s="1"/>
  <c r="D76" i="3"/>
  <c r="D78" i="3" s="1"/>
  <c r="F76" i="3"/>
  <c r="F78" i="3" s="1"/>
  <c r="C76" i="3"/>
  <c r="C78" i="3" s="1"/>
  <c r="B76" i="3"/>
  <c r="E76" i="3"/>
  <c r="C125" i="3"/>
  <c r="D125" i="3"/>
  <c r="I9" i="7"/>
  <c r="I8" i="7"/>
  <c r="G126" i="16"/>
  <c r="B72" i="16"/>
  <c r="C69" i="16"/>
  <c r="C72" i="16" s="1"/>
  <c r="G38" i="16"/>
  <c r="I38" i="16" s="1"/>
  <c r="K38" i="16" s="1"/>
  <c r="B28" i="3" s="1"/>
  <c r="C17" i="4" s="1"/>
  <c r="B34" i="2"/>
  <c r="B36" i="2" s="1"/>
  <c r="F12" i="3"/>
  <c r="E12" i="3"/>
  <c r="N128" i="16"/>
  <c r="G39" i="16"/>
  <c r="I39" i="16" s="1"/>
  <c r="K39" i="16" s="1"/>
  <c r="E10" i="3"/>
  <c r="F10" i="3"/>
  <c r="C63" i="16"/>
  <c r="C66" i="16" s="1"/>
  <c r="B66" i="16"/>
  <c r="I11" i="7" l="1"/>
  <c r="F110" i="3"/>
  <c r="E130" i="3"/>
  <c r="E131" i="3"/>
  <c r="E109" i="3"/>
  <c r="D81" i="3"/>
  <c r="B131" i="3"/>
  <c r="B130" i="3"/>
  <c r="B109" i="3"/>
  <c r="F131" i="3"/>
  <c r="F130" i="3"/>
  <c r="F109" i="3"/>
  <c r="C18" i="4"/>
  <c r="C20" i="4" s="1"/>
  <c r="C110" i="3"/>
  <c r="C131" i="3"/>
  <c r="C130" i="3"/>
  <c r="C109" i="3"/>
  <c r="E78" i="3"/>
  <c r="E81" i="3" s="1"/>
  <c r="F81" i="3"/>
  <c r="F133" i="3" s="1"/>
  <c r="D133" i="3"/>
  <c r="D110" i="3"/>
  <c r="C81" i="3"/>
  <c r="C133" i="3" s="1"/>
  <c r="D80" i="3"/>
  <c r="D132" i="3" s="1"/>
  <c r="B78" i="3"/>
  <c r="B81" i="3" s="1"/>
  <c r="C80" i="3"/>
  <c r="C132" i="3" s="1"/>
  <c r="D130" i="3"/>
  <c r="D131" i="3"/>
  <c r="D109" i="3"/>
  <c r="E80" i="3"/>
  <c r="F80" i="3"/>
  <c r="F132" i="3" s="1"/>
  <c r="F125" i="3"/>
  <c r="E125" i="3"/>
  <c r="S128" i="16"/>
  <c r="N135" i="16" s="1"/>
  <c r="F126" i="16"/>
  <c r="D28" i="3"/>
  <c r="E17" i="4" s="1"/>
  <c r="C28" i="3"/>
  <c r="D17" i="4" s="1"/>
  <c r="S130" i="16"/>
  <c r="N136" i="16"/>
  <c r="B30" i="3" s="1"/>
  <c r="C12" i="3"/>
  <c r="D12" i="3"/>
  <c r="G40" i="16"/>
  <c r="I40" i="16" s="1"/>
  <c r="K40" i="16" s="1"/>
  <c r="N130" i="16"/>
  <c r="M18" i="7" l="1"/>
  <c r="B80" i="3"/>
  <c r="E18" i="4"/>
  <c r="D18" i="4"/>
  <c r="B132" i="3"/>
  <c r="B133" i="3"/>
  <c r="B110" i="3"/>
  <c r="E133" i="3"/>
  <c r="E132" i="3"/>
  <c r="E110" i="3"/>
  <c r="E28" i="3"/>
  <c r="F17" i="4" s="1"/>
  <c r="F28" i="3"/>
  <c r="G17" i="4" s="1"/>
  <c r="N137" i="16"/>
  <c r="G30" i="3" s="1"/>
  <c r="G35" i="3" s="1"/>
  <c r="C34" i="3"/>
  <c r="F34" i="3"/>
  <c r="B34" i="3"/>
  <c r="E34" i="3"/>
  <c r="D34" i="3"/>
  <c r="C30" i="3"/>
  <c r="F30" i="3"/>
  <c r="F35" i="3" s="1"/>
  <c r="F42" i="3" s="1"/>
  <c r="F98" i="3" s="1"/>
  <c r="D30" i="3"/>
  <c r="E30" i="3"/>
  <c r="F165" i="16"/>
  <c r="F166" i="16" s="1"/>
  <c r="B12" i="3"/>
  <c r="E20" i="4" l="1"/>
  <c r="D20" i="4"/>
  <c r="G18" i="4"/>
  <c r="F18" i="4"/>
  <c r="B41" i="3"/>
  <c r="B97" i="3"/>
  <c r="B35" i="3"/>
  <c r="B42" i="3" s="1"/>
  <c r="B98" i="3" s="1"/>
  <c r="E35" i="3"/>
  <c r="E42" i="3" s="1"/>
  <c r="E98" i="3" s="1"/>
  <c r="C35" i="3"/>
  <c r="C42" i="3" s="1"/>
  <c r="C98" i="3" s="1"/>
  <c r="D35" i="3"/>
  <c r="D42" i="3" s="1"/>
  <c r="D98" i="3" s="1"/>
  <c r="E16" i="3"/>
  <c r="E92" i="3" s="1"/>
  <c r="D16" i="3"/>
  <c r="D92" i="3" s="1"/>
  <c r="C16" i="3"/>
  <c r="C92" i="3" s="1"/>
  <c r="F16" i="3"/>
  <c r="F92" i="3" s="1"/>
  <c r="E165" i="16"/>
  <c r="E166" i="16" s="1"/>
  <c r="B16" i="3" s="1"/>
  <c r="B92" i="3" s="1"/>
  <c r="G20" i="4" l="1"/>
  <c r="F20" i="4"/>
  <c r="C17" i="3"/>
  <c r="C20" i="3"/>
  <c r="F17" i="3"/>
  <c r="B17" i="3"/>
  <c r="D17" i="3"/>
  <c r="E17" i="3"/>
  <c r="B94" i="3" l="1"/>
  <c r="E94" i="3"/>
  <c r="F94" i="3"/>
  <c r="D94" i="3"/>
  <c r="C94" i="3"/>
  <c r="C129" i="3"/>
  <c r="C134" i="3" s="1"/>
  <c r="E20" i="3"/>
  <c r="E129" i="3" s="1"/>
  <c r="E134" i="3" s="1"/>
  <c r="E39" i="3"/>
  <c r="D20" i="3"/>
  <c r="D129" i="3" s="1"/>
  <c r="D134" i="3" s="1"/>
  <c r="D39" i="3"/>
  <c r="C19" i="3"/>
  <c r="C128" i="3" s="1"/>
  <c r="C39" i="3"/>
  <c r="B20" i="3"/>
  <c r="B129" i="3" s="1"/>
  <c r="B39" i="3"/>
  <c r="F20" i="3"/>
  <c r="F129" i="3" s="1"/>
  <c r="F39" i="3"/>
  <c r="F19" i="3"/>
  <c r="F128" i="3" s="1"/>
  <c r="D19" i="3"/>
  <c r="D128" i="3" s="1"/>
  <c r="E19" i="3"/>
  <c r="E128" i="3" s="1"/>
  <c r="B19" i="3"/>
  <c r="B128" i="3" s="1"/>
  <c r="D135" i="3" l="1"/>
  <c r="E135" i="3"/>
  <c r="B134" i="3"/>
  <c r="B135" i="3" s="1"/>
  <c r="B143" i="3"/>
  <c r="F134" i="3"/>
  <c r="F135" i="3" s="1"/>
  <c r="I143" i="3"/>
  <c r="J142" i="3"/>
  <c r="K142" i="3" s="1"/>
  <c r="J143" i="3"/>
  <c r="C143" i="3"/>
  <c r="C142" i="3"/>
  <c r="D142" i="3" s="1"/>
  <c r="C135" i="3"/>
  <c r="B43" i="3"/>
  <c r="D43" i="3"/>
  <c r="D47" i="3" s="1"/>
  <c r="D46" i="3"/>
  <c r="F43" i="3"/>
  <c r="C43" i="3"/>
  <c r="E43" i="3"/>
  <c r="E46" i="3" s="1"/>
  <c r="K143" i="3" l="1"/>
  <c r="D143" i="3"/>
  <c r="E44" i="3"/>
  <c r="E100" i="3"/>
  <c r="D44" i="3"/>
  <c r="D100" i="3"/>
  <c r="C44" i="3"/>
  <c r="C100" i="3"/>
  <c r="F44" i="3"/>
  <c r="F100" i="3"/>
  <c r="B44" i="3"/>
  <c r="B100" i="3"/>
  <c r="C46" i="3"/>
  <c r="F47" i="3"/>
  <c r="C47" i="3"/>
  <c r="B46" i="3"/>
  <c r="E47" i="3"/>
  <c r="F46" i="3"/>
  <c r="B47" i="3"/>
  <c r="F102" i="3" l="1"/>
  <c r="F176" i="16" s="1"/>
  <c r="B102" i="3"/>
  <c r="B176" i="16" s="1"/>
  <c r="C102" i="3"/>
  <c r="C176" i="16" s="1"/>
  <c r="D177" i="16" s="1"/>
  <c r="E102" i="3"/>
  <c r="E176" i="16" s="1"/>
  <c r="D102" i="3"/>
  <c r="D176" i="16" s="1"/>
  <c r="E177" i="16" s="1"/>
  <c r="D178" i="16" l="1"/>
  <c r="D105" i="3" s="1"/>
  <c r="D107" i="3" s="1"/>
  <c r="D112" i="3" s="1"/>
  <c r="D116" i="3" s="1"/>
  <c r="H7" i="7" s="1"/>
  <c r="F177" i="16"/>
  <c r="F178" i="16" s="1"/>
  <c r="F105" i="3" s="1"/>
  <c r="F107" i="3" s="1"/>
  <c r="F112" i="3" s="1"/>
  <c r="E178" i="16"/>
  <c r="E105" i="3" s="1"/>
  <c r="E107" i="3" s="1"/>
  <c r="E112" i="3" s="1"/>
  <c r="B178" i="16"/>
  <c r="B105" i="3" s="1"/>
  <c r="B107" i="3" s="1"/>
  <c r="B112" i="3" s="1"/>
  <c r="C177" i="16"/>
  <c r="C178" i="16" s="1"/>
  <c r="C105" i="3" s="1"/>
  <c r="C107" i="3" s="1"/>
  <c r="C112" i="3" s="1"/>
  <c r="K7" i="7" l="1"/>
  <c r="D114" i="3"/>
  <c r="F114" i="3"/>
  <c r="F116" i="3"/>
  <c r="H9" i="7" s="1"/>
  <c r="C116" i="3"/>
  <c r="H6" i="7" s="1"/>
  <c r="C114" i="3"/>
  <c r="E116" i="3"/>
  <c r="H8" i="7" s="1"/>
  <c r="E114" i="3"/>
  <c r="B114" i="3"/>
  <c r="B116" i="3"/>
  <c r="H5" i="7" s="1"/>
  <c r="D117" i="3"/>
  <c r="E7" i="7" s="1"/>
  <c r="F7" i="7" s="1"/>
  <c r="G7" i="7" s="1"/>
  <c r="D118" i="3"/>
  <c r="K5" i="7" l="1"/>
  <c r="K6" i="7"/>
  <c r="L7" i="7"/>
  <c r="K9" i="7"/>
  <c r="K8" i="7"/>
  <c r="H11" i="7"/>
  <c r="D120" i="3"/>
  <c r="C118" i="3"/>
  <c r="C117" i="3"/>
  <c r="F118" i="3"/>
  <c r="F117" i="3"/>
  <c r="E9" i="7" s="1"/>
  <c r="F9" i="7" s="1"/>
  <c r="G9" i="7" s="1"/>
  <c r="B118" i="3"/>
  <c r="B117" i="3"/>
  <c r="E118" i="3"/>
  <c r="E117" i="3"/>
  <c r="E8" i="7" s="1"/>
  <c r="C120" i="3" l="1"/>
  <c r="E6" i="7"/>
  <c r="F6" i="7" s="1"/>
  <c r="G6" i="7" s="1"/>
  <c r="L6" i="7" s="1"/>
  <c r="B120" i="3"/>
  <c r="B121" i="3" s="1"/>
  <c r="C19" i="4" s="1"/>
  <c r="C22" i="4" s="1"/>
  <c r="C25" i="4" s="1"/>
  <c r="C36" i="4" s="1"/>
  <c r="E5" i="7"/>
  <c r="F5" i="7" s="1"/>
  <c r="G5" i="7" s="1"/>
  <c r="L5" i="7" s="1"/>
  <c r="M5" i="7" s="1"/>
  <c r="F8" i="7"/>
  <c r="K11" i="7"/>
  <c r="E120" i="3"/>
  <c r="E124" i="3" s="1"/>
  <c r="E126" i="3" s="1"/>
  <c r="L9" i="7"/>
  <c r="C121" i="3"/>
  <c r="D19" i="4" s="1"/>
  <c r="D22" i="4" s="1"/>
  <c r="C124" i="3"/>
  <c r="C126" i="3" s="1"/>
  <c r="B124" i="3"/>
  <c r="B126" i="3" s="1"/>
  <c r="F120" i="3"/>
  <c r="D121" i="3"/>
  <c r="E19" i="4" s="1"/>
  <c r="E22" i="4" s="1"/>
  <c r="D124" i="3"/>
  <c r="D126" i="3" s="1"/>
  <c r="E25" i="4" l="1"/>
  <c r="E36" i="4" s="1"/>
  <c r="M6" i="7"/>
  <c r="M7" i="7" s="1"/>
  <c r="E11" i="7"/>
  <c r="D25" i="4"/>
  <c r="D36" i="4" s="1"/>
  <c r="E121" i="3"/>
  <c r="F19" i="4" s="1"/>
  <c r="F22" i="4" s="1"/>
  <c r="F25" i="4" s="1"/>
  <c r="F36" i="4" s="1"/>
  <c r="G8" i="7"/>
  <c r="F11" i="7"/>
  <c r="F121" i="3"/>
  <c r="G19" i="4" s="1"/>
  <c r="G22" i="4" s="1"/>
  <c r="F124" i="3"/>
  <c r="F126" i="3" s="1"/>
  <c r="G11" i="7" l="1"/>
  <c r="L8" i="7"/>
  <c r="G25" i="4"/>
  <c r="G36" i="4" s="1"/>
  <c r="D15" i="7" l="1"/>
  <c r="M8" i="7"/>
  <c r="L11" i="7"/>
  <c r="D14" i="7" l="1"/>
  <c r="M9" i="7"/>
  <c r="D13" i="7" s="1"/>
  <c r="M21" i="7" l="1"/>
</calcChain>
</file>

<file path=xl/sharedStrings.xml><?xml version="1.0" encoding="utf-8"?>
<sst xmlns="http://schemas.openxmlformats.org/spreadsheetml/2006/main" count="1215" uniqueCount="704">
  <si>
    <t>ESTA PLANILLA PUEDE SER UTILIZADA SOLAMENTE PARA EL TRABAJO PRACTICO:</t>
  </si>
  <si>
    <t>Reglas y consideraciones a tener en cuenta antes de entregar para corregir</t>
  </si>
  <si>
    <t>Tasa porcentual de IVA</t>
  </si>
  <si>
    <r>
      <rPr>
        <sz val="10"/>
        <color indexed="9"/>
        <rFont val="Arial"/>
        <family val="2"/>
      </rPr>
      <t xml:space="preserve">1. TODAS las celdas que tomen datos de otra parte del archivo deben estar referenciadas con una </t>
    </r>
    <r>
      <rPr>
        <b/>
        <sz val="10"/>
        <color indexed="9"/>
        <rFont val="Arial"/>
        <family val="2"/>
      </rPr>
      <t>FÓRMULA</t>
    </r>
    <r>
      <rPr>
        <sz val="10"/>
        <color indexed="9"/>
        <rFont val="Arial"/>
        <family val="2"/>
      </rPr>
      <t>. No se corregirán TPs con datos escritos como valores (esto vale incluso para la tasa de HD, IG e IVA). Tampoco se aceptarán fórmulas que hagan referencia a otros archivos.</t>
    </r>
  </si>
  <si>
    <t>Tasa porcentual de Impuesto a las Ganancias</t>
  </si>
  <si>
    <t>Honorarios al Directorio</t>
  </si>
  <si>
    <t>Variable sobre Utilidad económica antes de HD e IG</t>
  </si>
  <si>
    <t>Imprevistos</t>
  </si>
  <si>
    <t>Tiempo de Amortización Activos Fijos:</t>
  </si>
  <si>
    <t>Se considera una depreciación lineal y un valor residual nulo</t>
  </si>
  <si>
    <r>
      <rPr>
        <b/>
        <sz val="10"/>
        <color indexed="9"/>
        <rFont val="Arial"/>
        <family val="2"/>
        <charset val="1"/>
      </rPr>
      <t>2. TODOS</t>
    </r>
    <r>
      <rPr>
        <sz val="10"/>
        <color indexed="9"/>
        <rFont val="Arial"/>
        <family val="2"/>
        <charset val="1"/>
      </rPr>
      <t xml:space="preserve"> los valores que se ingresen al archivo por primera vez deben tener su respectiva referencia o </t>
    </r>
    <r>
      <rPr>
        <b/>
        <sz val="10"/>
        <color indexed="9"/>
        <rFont val="Arial"/>
        <family val="2"/>
        <charset val="1"/>
      </rPr>
      <t>FUENTE</t>
    </r>
    <r>
      <rPr>
        <sz val="10"/>
        <color indexed="9"/>
        <rFont val="Arial"/>
        <family val="2"/>
        <charset val="1"/>
      </rPr>
      <t xml:space="preserve"> (ej. cálculos auxiliares en otra hoja, links, etc.)</t>
    </r>
  </si>
  <si>
    <t xml:space="preserve">    edificios y obras complementarias</t>
  </si>
  <si>
    <t>años</t>
  </si>
  <si>
    <t xml:space="preserve">    instalaciones industriales</t>
  </si>
  <si>
    <r>
      <rPr>
        <b/>
        <sz val="10"/>
        <color indexed="9"/>
        <rFont val="Arial"/>
        <family val="2"/>
        <charset val="1"/>
      </rPr>
      <t>3.</t>
    </r>
    <r>
      <rPr>
        <sz val="10"/>
        <color indexed="9"/>
        <rFont val="Arial"/>
        <family val="2"/>
        <charset val="1"/>
      </rPr>
      <t xml:space="preserve"> Los datos utilizados tienen que tener concordancia con los dimensionamientos anteriores.</t>
    </r>
  </si>
  <si>
    <t xml:space="preserve">    máquinas, equipos y accesorios</t>
  </si>
  <si>
    <r>
      <rPr>
        <b/>
        <sz val="10"/>
        <color indexed="9"/>
        <rFont val="Arial"/>
        <family val="2"/>
      </rPr>
      <t>4.</t>
    </r>
    <r>
      <rPr>
        <sz val="10"/>
        <color indexed="9"/>
        <rFont val="Arial"/>
        <family val="2"/>
      </rPr>
      <t xml:space="preserve"> El SET "A" de verificaciones en la hoja “E-Form” debe estar OK antes de entregar una primer versión para corregir.</t>
    </r>
  </si>
  <si>
    <t xml:space="preserve">    rodados y equipos auxiliares</t>
  </si>
  <si>
    <t xml:space="preserve">    muebles y útiles</t>
  </si>
  <si>
    <r>
      <rPr>
        <b/>
        <sz val="10"/>
        <color indexed="9"/>
        <rFont val="Arial"/>
        <family val="2"/>
      </rPr>
      <t xml:space="preserve">5. </t>
    </r>
    <r>
      <rPr>
        <sz val="10"/>
        <color indexed="9"/>
        <rFont val="Arial"/>
        <family val="2"/>
      </rPr>
      <t>El SET "A", “B” y “C” de verificaciones en la hoja “F-Form” debe estar OK antes de la entrega final</t>
    </r>
  </si>
  <si>
    <t xml:space="preserve">    repuestos iniciales</t>
  </si>
  <si>
    <t>Otros Activos y Cargos Diferidos</t>
  </si>
  <si>
    <t>Nombre del Producto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</si>
  <si>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</si>
  <si>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</si>
  <si>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</si>
  <si>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</si>
  <si>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</si>
  <si>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</si>
  <si>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</si>
  <si>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</si>
  <si>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</si>
  <si>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</si>
  <si>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</si>
  <si>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Periodo de Instalación</t>
  </si>
  <si>
    <t>en meses</t>
  </si>
  <si>
    <t>Período de Puesta en Marcha</t>
  </si>
  <si>
    <t>Tasa de Cambio</t>
  </si>
  <si>
    <t>$ por cada</t>
  </si>
  <si>
    <t>U$S</t>
  </si>
  <si>
    <t>Tasa de Credito Bancario</t>
  </si>
  <si>
    <t>anual</t>
  </si>
  <si>
    <t>Año 6</t>
  </si>
  <si>
    <t>Rubro a financiar</t>
  </si>
  <si>
    <t>% sobre el total del Rubro</t>
  </si>
  <si>
    <t>Dias de Financiación de Proveedores</t>
  </si>
  <si>
    <t>% sobre Compras</t>
  </si>
  <si>
    <t>Tasa de financiación</t>
  </si>
  <si>
    <t>Medley</t>
  </si>
  <si>
    <t>ESTA PLANILLA PUEDE SER UTILIZADA SOLAMENTE PARA EL TRABAJO PRACTICO</t>
  </si>
  <si>
    <t>Inversión Inicial en Activo Fijo</t>
  </si>
  <si>
    <t>Gasto interno (en $)</t>
  </si>
  <si>
    <t>Gasto Externo (en $)</t>
  </si>
  <si>
    <t>Año 0</t>
  </si>
  <si>
    <t>Año 1</t>
  </si>
  <si>
    <t>a) Bienes de Uso</t>
  </si>
  <si>
    <t>Terreno y sus mejoras</t>
  </si>
  <si>
    <t>Edificio y obras complementarias</t>
  </si>
  <si>
    <t>Instalaciones industriales</t>
  </si>
  <si>
    <t>Máquinas operativas</t>
  </si>
  <si>
    <t xml:space="preserve">    importadas, valor FOB, con repuestos</t>
  </si>
  <si>
    <t xml:space="preserve">    nacionales, precio en fábrica del proveedor</t>
  </si>
  <si>
    <t>Gastos conexos a la importación de maquinaria</t>
  </si>
  <si>
    <t>Transporte y montaje de la maquinaria</t>
  </si>
  <si>
    <t>Rodados y equipos auxiliares</t>
  </si>
  <si>
    <t>Muebles y útiles</t>
  </si>
  <si>
    <t>Infraestructura en predio propio</t>
  </si>
  <si>
    <t>Total Bienes de uso</t>
  </si>
  <si>
    <t>b) Gastos asimilables o cargos diferidos</t>
  </si>
  <si>
    <t>Investigaciones y estudios</t>
  </si>
  <si>
    <t>Constitución y organización de la empresa</t>
  </si>
  <si>
    <t>Gastos de Admin. e Ing. En en período de Instalación</t>
  </si>
  <si>
    <t>Gastos de puesta en marcha (AL AÑO 1)</t>
  </si>
  <si>
    <t>Patentes y Licencias</t>
  </si>
  <si>
    <t>Infraestructura en predio ajeno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</si>
  <si>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</si>
  <si>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</si>
  <si>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</si>
  <si>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</si>
  <si>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</si>
  <si>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</si>
  <si>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</si>
  <si>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</si>
  <si>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</si>
  <si>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</si>
  <si>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</si>
  <si>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</si>
  <si>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</si>
  <si>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>Repuestos</t>
  </si>
  <si>
    <t>Subtotal</t>
  </si>
  <si>
    <t xml:space="preserve">Cargos Diferidos </t>
  </si>
  <si>
    <t>Totales, s/IVA</t>
  </si>
  <si>
    <t>COSTO TOTAL DE PRODUCCION</t>
  </si>
  <si>
    <t>Gastos en el Area de Producción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</si>
  <si>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</si>
  <si>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</si>
  <si>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</si>
  <si>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</si>
  <si>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</si>
  <si>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</si>
  <si>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</si>
  <si>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fabricación:</t>
  </si>
  <si>
    <t>Amortizaciones</t>
  </si>
  <si>
    <t>Personal indirecto</t>
  </si>
  <si>
    <t>Materiales</t>
  </si>
  <si>
    <t>Energía eléctrica</t>
  </si>
  <si>
    <t>Combustibles</t>
  </si>
  <si>
    <t>Tasas e impuestos</t>
  </si>
  <si>
    <t>Gastos Total de Producción</t>
  </si>
  <si>
    <t>% Gasto Constante</t>
  </si>
  <si>
    <t>% Gasto Variable</t>
  </si>
  <si>
    <t>Gastos a activar</t>
  </si>
  <si>
    <t>Mercadería en Curso y Semielaborada</t>
  </si>
  <si>
    <t>Puesta en marcha</t>
  </si>
  <si>
    <t xml:space="preserve">  Energía eléctrica</t>
  </si>
  <si>
    <t xml:space="preserve">  Combustibles</t>
  </si>
  <si>
    <t xml:space="preserve">  Tasas e impuestos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</si>
  <si>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</si>
  <si>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</si>
  <si>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</si>
  <si>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</si>
  <si>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</si>
  <si>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Variación Mercadería en proceso</t>
  </si>
  <si>
    <t>Costo de producción anual</t>
  </si>
  <si>
    <t>Costo de prod. Unitario Promedio</t>
  </si>
  <si>
    <t>Gastos en el Area de Administración</t>
  </si>
  <si>
    <t>Personal</t>
  </si>
  <si>
    <t>Electricidad</t>
  </si>
  <si>
    <t>Combustible</t>
  </si>
  <si>
    <t>Varios</t>
  </si>
  <si>
    <t>Costo total de Admistración</t>
  </si>
  <si>
    <t>Gastos en el Area de Comercialización</t>
  </si>
  <si>
    <t>Amortizaciones de A. Fijo</t>
  </si>
  <si>
    <t>Energía Eléctrica</t>
  </si>
  <si>
    <t>Costo total de Comercialización</t>
  </si>
  <si>
    <t>COSTO TOTAL Y RESULTADO A NIVEL ECONOMICO</t>
  </si>
  <si>
    <t>Venta anual, en Unidades Producto 1</t>
  </si>
  <si>
    <t>Precio de venta Producto 1</t>
  </si>
  <si>
    <t>VENTAS ANUALES</t>
  </si>
  <si>
    <t xml:space="preserve">Consumo de materia prima </t>
  </si>
  <si>
    <t>Gastos de fabricación</t>
  </si>
  <si>
    <t>Gastos de Producción</t>
  </si>
  <si>
    <t>COSTO DE PRODUCCION ANUAL</t>
  </si>
  <si>
    <t>Producción anual en Unidades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</si>
  <si>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</si>
  <si>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</si>
  <si>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</si>
  <si>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</si>
  <si>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</si>
  <si>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</si>
  <si>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</si>
  <si>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</si>
  <si>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</si>
  <si>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</si>
  <si>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</si>
  <si>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</si>
  <si>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</si>
  <si>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</si>
  <si>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Total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</si>
  <si>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</si>
  <si>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</si>
  <si>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</si>
  <si>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</si>
  <si>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</si>
  <si>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</si>
  <si>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</si>
  <si>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</si>
  <si>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</si>
  <si>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INVERSIONES EN ACTIVO DE TRABAJO</t>
  </si>
  <si>
    <r>
      <rPr>
        <b/>
        <sz val="10"/>
        <rFont val="Arial"/>
        <family val="2"/>
      </rPr>
      <t xml:space="preserve">1. Activo de Trabajo: </t>
    </r>
    <r>
      <rPr>
        <sz val="10"/>
        <rFont val="Arial"/>
        <family val="2"/>
      </rPr>
      <t>(valor contable)</t>
    </r>
  </si>
  <si>
    <t xml:space="preserve">   a) Disponibilidad Mínima en Caja y Bancos:</t>
  </si>
  <si>
    <t xml:space="preserve">   b) Crédito por Ventas</t>
  </si>
  <si>
    <t xml:space="preserve">   c) Bienes de cambio:</t>
  </si>
  <si>
    <t xml:space="preserve">    Stock de materias prima:</t>
  </si>
  <si>
    <t xml:space="preserve">   Stock de materiales:</t>
  </si>
  <si>
    <t xml:space="preserve">   Mercadería en curso y semielaborada</t>
  </si>
  <si>
    <t xml:space="preserve">   Stock de elaborados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</si>
  <si>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</si>
  <si>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</si>
  <si>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</si>
  <si>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</si>
  <si>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</si>
  <si>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</si>
  <si>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</si>
  <si>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</si>
  <si>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</si>
  <si>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</si>
  <si>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</si>
  <si>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</si>
  <si>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</si>
  <si>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</si>
  <si>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</si>
  <si>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</si>
  <si>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</si>
  <si>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</si>
  <si>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Calendario de Inversiones</t>
  </si>
  <si>
    <t>Año 0: Preinversion</t>
  </si>
  <si>
    <t>Año 0: Instalación</t>
  </si>
  <si>
    <t>Totales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</si>
  <si>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</si>
  <si>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</si>
  <si>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</si>
  <si>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</si>
  <si>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</si>
  <si>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</si>
  <si>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</si>
  <si>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</si>
  <si>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</si>
  <si>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</si>
  <si>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</si>
  <si>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</si>
  <si>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</si>
  <si>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</si>
  <si>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</si>
  <si>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</si>
  <si>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</si>
  <si>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</si>
  <si>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IVA plan de Explotación, Cancelación del Credito Fiscal y pago al Fisco por IVA</t>
  </si>
  <si>
    <t>TOTALES PARA LAS TRES AREAS</t>
  </si>
  <si>
    <t>Rubros que abonan IVA</t>
  </si>
  <si>
    <t>Materia Prima</t>
  </si>
  <si>
    <t>Seguros</t>
  </si>
  <si>
    <t>Menos: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</si>
  <si>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</si>
  <si>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</si>
  <si>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</si>
  <si>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</si>
  <si>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</si>
  <si>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</si>
  <si>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</si>
  <si>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</si>
  <si>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</si>
  <si>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</si>
  <si>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</si>
  <si>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</si>
  <si>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>e) Recuepro de Credito Fiscal</t>
  </si>
  <si>
    <t xml:space="preserve">    Pago al Fisco por IVA</t>
  </si>
  <si>
    <t>Formulación del Proyecto a Nivel Económico</t>
  </si>
  <si>
    <t>Año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</si>
  <si>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</si>
  <si>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</si>
  <si>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</si>
  <si>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</si>
  <si>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</si>
  <si>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</si>
  <si>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</si>
  <si>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</si>
  <si>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</si>
  <si>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</si>
  <si>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</si>
  <si>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</si>
  <si>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</si>
  <si>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en años</t>
  </si>
  <si>
    <t>TIR</t>
  </si>
  <si>
    <t>Verificaciones</t>
  </si>
  <si>
    <t>Set A</t>
  </si>
  <si>
    <t>IVA</t>
  </si>
  <si>
    <t>AT</t>
  </si>
  <si>
    <t>BN Proyecto</t>
  </si>
  <si>
    <t>PRIMERA ESTRUCTURA FINANCIERA</t>
  </si>
  <si>
    <t>Total Inversión</t>
  </si>
  <si>
    <t>CréditoS</t>
  </si>
  <si>
    <t>Capital Propio</t>
  </si>
  <si>
    <t>monto</t>
  </si>
  <si>
    <t>%</t>
  </si>
  <si>
    <t xml:space="preserve">Activo Fijo 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</si>
  <si>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</si>
  <si>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</si>
  <si>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</si>
  <si>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</si>
  <si>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</si>
  <si>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</si>
  <si>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</si>
  <si>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</si>
  <si>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</si>
  <si>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</si>
  <si>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</si>
  <si>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</si>
  <si>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</si>
  <si>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gastos preoperativos:</t>
  </si>
  <si>
    <t>Totales: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</si>
  <si>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</si>
  <si>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</si>
  <si>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</si>
  <si>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</si>
  <si>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</si>
  <si>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</si>
  <si>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</si>
  <si>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RESULTADO (a/Hon. e Imp.)</t>
  </si>
  <si>
    <t>Menos: Honorarios al Direct.</t>
  </si>
  <si>
    <t>Menos: Impuesto a la Ganancia</t>
  </si>
  <si>
    <t>RESULTADO (d/Hon. e Imp.)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</si>
  <si>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</si>
  <si>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</si>
  <si>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</si>
  <si>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</si>
  <si>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</si>
  <si>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</si>
  <si>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</si>
  <si>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</si>
  <si>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</si>
  <si>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</si>
  <si>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</si>
  <si>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</si>
  <si>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</si>
  <si>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</si>
  <si>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</si>
  <si>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</si>
  <si>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</si>
  <si>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</si>
  <si>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</si>
  <si>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</si>
  <si>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</si>
  <si>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</si>
  <si>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</si>
  <si>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>Porcentaje</t>
  </si>
  <si>
    <t>Crédito renovable</t>
  </si>
  <si>
    <t>Crédito no renovable</t>
  </si>
  <si>
    <t>Capital propio</t>
  </si>
  <si>
    <t>PUNTO DE EQUILIBRIO ECONOMICO FINANCIERO</t>
  </si>
  <si>
    <t>Gasto Financiero</t>
  </si>
  <si>
    <t>HACER DIAGRAMA DE PUNTO DE EQUILIBRIO PARA EL AÑO 1 Y PARA EL AÑO 10</t>
  </si>
  <si>
    <t>a) IVA pagado en el Costo Total de lo Vendido:</t>
  </si>
  <si>
    <t xml:space="preserve">   Total pagado en el Area de Producción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</si>
  <si>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</si>
  <si>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</si>
  <si>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</si>
  <si>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</si>
  <si>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</si>
  <si>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</si>
  <si>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</si>
  <si>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</si>
  <si>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</si>
  <si>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</si>
  <si>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</si>
  <si>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</si>
  <si>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</si>
  <si>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</si>
  <si>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</si>
  <si>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</si>
  <si>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</si>
  <si>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 Totales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</si>
  <si>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</si>
  <si>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</si>
  <si>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</si>
  <si>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</si>
  <si>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</si>
  <si>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</si>
  <si>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</si>
  <si>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</si>
  <si>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</si>
  <si>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</si>
  <si>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</si>
  <si>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</si>
  <si>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</si>
  <si>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</si>
  <si>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</si>
  <si>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</si>
  <si>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</si>
  <si>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</si>
  <si>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</si>
  <si>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</si>
  <si>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</si>
  <si>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</si>
  <si>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</si>
  <si>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</si>
  <si>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</si>
  <si>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</si>
  <si>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</si>
  <si>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</si>
  <si>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</si>
  <si>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</si>
  <si>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</si>
  <si>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</si>
  <si>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</si>
  <si>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</si>
  <si>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</si>
  <si>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</si>
  <si>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</si>
  <si>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</si>
  <si>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</si>
  <si>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</si>
  <si>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Verificación</t>
  </si>
  <si>
    <t>Formulación del Proyecto a Nivel Financiero</t>
  </si>
  <si>
    <t>Activo de Trabajo</t>
  </si>
  <si>
    <t>Utilidad  Antes  HD e IG</t>
  </si>
  <si>
    <t>Intereses Pagados</t>
  </si>
  <si>
    <t>TIR modificada</t>
  </si>
  <si>
    <t>Formulación para el Inversor</t>
  </si>
  <si>
    <t>Aporte de Capital</t>
  </si>
  <si>
    <t>Saldo propio de Fuentes y Usos</t>
  </si>
  <si>
    <t>Set B</t>
  </si>
  <si>
    <t>BN Inversor 1</t>
  </si>
  <si>
    <t>BN Inversor 2</t>
  </si>
  <si>
    <t>BN Inversor 3</t>
  </si>
  <si>
    <t>BN Inversor 4</t>
  </si>
  <si>
    <t>para el inversor</t>
  </si>
  <si>
    <t>BN Inversor 5</t>
  </si>
  <si>
    <t>en años para el inversor</t>
  </si>
  <si>
    <t>Set C</t>
  </si>
  <si>
    <t>TOR</t>
  </si>
  <si>
    <t>Balance</t>
  </si>
  <si>
    <t>REFERENCIAS</t>
  </si>
  <si>
    <t>PRECIO m2 EN DÓLARES</t>
  </si>
  <si>
    <t>% DEL EDIFICIO Y OBRAS</t>
  </si>
  <si>
    <t>Está así en la guía</t>
  </si>
  <si>
    <t>Pesos</t>
  </si>
  <si>
    <t>MONTAJE</t>
  </si>
  <si>
    <t>Nacional</t>
  </si>
  <si>
    <t>% Interno</t>
  </si>
  <si>
    <t>% Externo</t>
  </si>
  <si>
    <t>TRANSPORTE</t>
  </si>
  <si>
    <t>Precio</t>
  </si>
  <si>
    <t>Zorra hidráulica</t>
  </si>
  <si>
    <t>Cantidad</t>
  </si>
  <si>
    <t>Computadora</t>
  </si>
  <si>
    <t>Impresora</t>
  </si>
  <si>
    <t>Hojas A4</t>
  </si>
  <si>
    <t>Hojas Oficio</t>
  </si>
  <si>
    <t>Kit de utiles</t>
  </si>
  <si>
    <t>Escritorio</t>
  </si>
  <si>
    <t>Silla ergonómica</t>
  </si>
  <si>
    <t>Sillas comunes</t>
  </si>
  <si>
    <t>Mesa de reuniones</t>
  </si>
  <si>
    <t>Cortinas</t>
  </si>
  <si>
    <t>Celular</t>
  </si>
  <si>
    <t>Aire acondicionado</t>
  </si>
  <si>
    <t>Cafetera</t>
  </si>
  <si>
    <t>Cestos de basura (set de 2)</t>
  </si>
  <si>
    <t>Armario</t>
  </si>
  <si>
    <t>Calculadora</t>
  </si>
  <si>
    <t>Escobillón</t>
  </si>
  <si>
    <t>Escoba</t>
  </si>
  <si>
    <t>Aspiradora</t>
  </si>
  <si>
    <t>Kit de productos de limpieza</t>
  </si>
  <si>
    <t>Trapo (pack 24u)</t>
  </si>
  <si>
    <t>https://articulo.mercadolibre.com.ar/MLA-615542962-trapos-rejilla-pabilo-super-mr-trapo-42x42cm-pack-24un-_JM</t>
  </si>
  <si>
    <t>Balde</t>
  </si>
  <si>
    <t>Papel higiénico (pack 8u)</t>
  </si>
  <si>
    <t>Papel secador de manos (2500u)</t>
  </si>
  <si>
    <t>Jabón líquido</t>
  </si>
  <si>
    <t>Guantes de protección personal</t>
  </si>
  <si>
    <t>https://articulo.mercadolibre.com.ar/MLA-679747409-guantes-de-cuero-descarne-reforzados-puno-corto-_JM</t>
  </si>
  <si>
    <t>Estantería Metálica</t>
  </si>
  <si>
    <t>Mesa comedor</t>
  </si>
  <si>
    <t>Horno eléctrico</t>
  </si>
  <si>
    <t>Heladera</t>
  </si>
  <si>
    <t>Proyector</t>
  </si>
  <si>
    <t>VALOR</t>
  </si>
  <si>
    <t>AÑO 0</t>
  </si>
  <si>
    <t>AÑO 1</t>
  </si>
  <si>
    <t>https://martinbonari.com/costo-de-la-construccion-en-2019/</t>
  </si>
  <si>
    <t>https://www.argenprop.com/terreno-en-venta-en-lomas-del-mirador--6555923</t>
  </si>
  <si>
    <t>Maquina troqueladora</t>
  </si>
  <si>
    <t>Maquina de Coser</t>
  </si>
  <si>
    <t>Estufa</t>
  </si>
  <si>
    <t>Lavarropas</t>
  </si>
  <si>
    <t>https://www.casavargascordoba.com.ar/index.php/typical-tw5-820.html</t>
  </si>
  <si>
    <t>Guia</t>
  </si>
  <si>
    <t>Llamado a RC Calautti</t>
  </si>
  <si>
    <t>https://articulo.mercadolibre.com.ar/MLA-774284064-servicio-de-flete-y-embalaje-al-transporte-en-caba-_JM?quantity=1#position=45&amp;type=item&amp;tracking_id=a6815436-d273-46e8-a8e1-8b934b06ef8a</t>
  </si>
  <si>
    <t>https://articulo.mercadolibre.com.ar/MLA-639352117-zorra-hidraulica-3000kg-wtac-transpaleta-_JM?matt_tool=33617560&amp;matt_word&amp;gclid=CjwKCAjwk93rBRBLEiwAcMapUbFctyuiCD7-Tyh86WnOMLhheKCLf2QPAehA9cQ2h4a4h6ikVvwgTxoCFZYQAvD_BwE&amp;quantity=1</t>
  </si>
  <si>
    <t>https://articulo.mercadolibre.com.ar/MLA-777803280-cloudbook-netbook-touch-2-en-1-ips-32gb-ssd-2gb-ram-win-10-_JM?quantity=1&amp;variation=34470521408#position=1&amp;type=item&amp;tracking_id=0d86719c-51c4-4d19-ac83-ff12b38815d2</t>
  </si>
  <si>
    <t>https://articulo.mercadolibre.com.ar/MLA-652607111-impresora-multifuncion-epson-xp2101-inalambrica-wifi-_JM?quantity=1&amp;variation=36664258882#position=2&amp;type=item&amp;tracking_id=33e20210-8180-438b-a4ae-6a0c5a5d30e2</t>
  </si>
  <si>
    <t>https://articulo.mercadolibre.com.ar/MLA-621270836-resma-a4-de-70gr-duplituc-envios-papelera-grafipel-_JM?quantity=1#position=2&amp;type=item&amp;tracking_id=6a96a13b-1e6a-49d0-93a3-ede6a6ab217f</t>
  </si>
  <si>
    <t>https://articulo.mercadolibre.com.ar/MLA-618071779-resma-autor-oficio-75-envio-x-20-en-caba-papelera-grafipel-_JM?quantity=1#position=2&amp;type=item&amp;tracking_id=f882aabf-039b-460d-b08a-dcac341795da</t>
  </si>
  <si>
    <t>https://articulo.mercadolibre.com.ar/MLA-769554470-lapicera-bic-colores-surtidos-opaco-x-4-u-_JM?quantity=1#position=1&amp;type=item&amp;tracking_id=31cdd41e-d306-493b-a7e8-863def23eed5</t>
  </si>
  <si>
    <t>https://articulo.mercadolibre.com.ar/MLA-700654557-escritorio-haya-y-negro-muebles-para-oficina-003-astra-008-_JM?quantity=1&amp;variation=30852098409#position=1&amp;type=item&amp;tracking_id=413a667a-c52a-4d92-bcf2-f09d5fa3d77c</t>
  </si>
  <si>
    <t>https://articulo.mercadolibre.com.ar/MLA-607160180-silla-ejecutiva-ergonometrica-cont-perm-_JM?quantity=1&amp;onAttributesExp=true#position=3&amp;type=item&amp;tracking_id=c1c2a896-3f3c-4c94-810c-7af292170975</t>
  </si>
  <si>
    <t>https://articulo.mercadolibre.com.ar/MLA-680087033-silla-apilable-de-cano-comedor-cocina-envio-reforzada-_JM?quantity=1&amp;variation=32796228548#position=6&amp;type=item&amp;tracking_id=48955801-0ee0-4a12-9611-512167fb86eb</t>
  </si>
  <si>
    <t>https://articulo.mercadolibre.com.ar/MLA-760301042-mesa-de-reunion-blanca-muebles-de-oficina-009-tansy-014-_JM?quantity=1&amp;variation=30855396655#position=1&amp;type=item&amp;tracking_id=2417124a-3c30-4a44-b589-4240f0c49258</t>
  </si>
  <si>
    <t>https://articulo.mercadolibre.com.ar/MLA-633063260-cortinas-baston-listas-para-colgar-2-panos-de-140x200cu-_JM#position=1&amp;type=item&amp;tracking_id=c25bc418-afdf-4503-9ca2-60fc9609e0eb</t>
  </si>
  <si>
    <t>Teléfono x 3</t>
  </si>
  <si>
    <t>https://articulo.mercadolibre.com.ar/MLA-741366553-inalambrico-panasonic-triple-pantalla-con-luz-ambarspeaker-_JM#position=2&amp;type=item&amp;tracking_id=4d0e52d8-dc31-4f24-8236-367975b7f8a8</t>
  </si>
  <si>
    <t>https://tienda.movistar.com.ar/?dir=asc&amp;order=price</t>
  </si>
  <si>
    <t>https://articulo.mercadolibre.com.ar/MLA-678341708-franela-multiuso-naranja-x-10u-_JM?quantity=1&amp;variation=43161438987#position=1&amp;type=item&amp;tracking_id=ba7c2266-600a-434b-81c5-cba0849fd42a</t>
  </si>
  <si>
    <t>Franela (pack 10u)</t>
  </si>
  <si>
    <t>https://articulo.mercadolibre.com.ar/MLA-699935083-balde-de-1-litro-con-tapa-presion-sin-manija-_JM?quantity=1#position=10&amp;type=item&amp;tracking_id=f9f0a4a6-ab2d-4fc5-81da-a7d38bfa773f</t>
  </si>
  <si>
    <t>https://articulo.mercadolibre.com.ar/MLA-776739785-papel-higienico-scott-esencias-pack-ahorro-30-mts-x-8-rollos-_JM?quantity=1#position=1&amp;type=item&amp;tracking_id=27e9be34-4d39-48ed-b1aa-7247e2331de1</t>
  </si>
  <si>
    <t>https://articulo.mercadolibre.com.ar/MLA-620390390-toallas-intercaladas-papel-2500un-manos-bano-dispenser-_JM?quantity=1#position=1&amp;type=item&amp;tracking_id=50a0ec0e-2644-4d02-96f5-912fb7c84b68</t>
  </si>
  <si>
    <t>https://articulo.mercadolibre.com.ar/MLA-781929692-jabon-liquido-para-manos-lux-rosas-francesas-250ml-_JM?quantity=1#position=1&amp;type=item&amp;tracking_id=4423eded-cca0-4190-9918-bc97f0c21456</t>
  </si>
  <si>
    <t>Locker 12 puertas</t>
  </si>
  <si>
    <t>https://articulo.mercadolibre.com.ar/MLA-780655341-lockers-bolseros-metalicos-12-ptas-pintura-epoxi-ccerradura-_JM?quantity=1#position=5&amp;type=item&amp;tracking_id=c01bbe59-1b7d-481f-94f3-a626b67e6f6e</t>
  </si>
  <si>
    <t>https://articulo.mercadolibre.com.ar/MLA-660671089-estanteria-metalica-90x30x200-crefuerzo-30kg-cestante-_JM?quantity=1&amp;variation=42422133464#position=1&amp;type=item&amp;tracking_id=265a7a61-e087-4a99-afb8-c1084f72f42c</t>
  </si>
  <si>
    <t>https://articulo.mercadolibre.com.ar/MLA-620949680-mesa-asia-laqueada-en-poliuretano-insuperable-oferta-_JM?quantity=1#position=13&amp;type=item&amp;tracking_id=26ac571e-76b2-4a55-a6a1-fc2f49f1ed23</t>
  </si>
  <si>
    <t>https://articulo.mercadolibre.com.ar/MLA-633443718-horno-electrico-alpaca-compacto-9-litros-alphe-9l-oferta-_JM?searchVariation=38854869784&amp;quantity=1&amp;variation=38854869784#position=5&amp;type=item&amp;tracking_id=891bcc4a-8c08-46d7-9a72-f964d7b3732a</t>
  </si>
  <si>
    <t>https://articulo.mercadolibre.com.ar/MLA-625305176-heladera-lacar-230-litros-con-freezer-2-puertas-2110-equipandotech-_JM?quantity=1&amp;variation=36793694089#position=5&amp;type=item&amp;tracking_id=077a84fd-b4f2-4e19-91cb-87ef0e9e91bb</t>
  </si>
  <si>
    <t>https://articulo.mercadolibre.com.ar/MLA-646719639-proyector-portatil-gadnic-60-lumens-100-hdmi-sintonizador-_JM?quantity=1#position=1&amp;type=item&amp;tracking_id=cea8e24c-d95f-4f35-a3b5-b1cbcab5f645</t>
  </si>
  <si>
    <t>https://articulo.mercadolibre.com.ar/MLA-800350966-aire-acondicionado-split-hitachi-eco-2500-watts-friocalor-_JM?quantity=1#position=4&amp;type=item&amp;tracking_id=8a73d279-fb7b-4b21-ac28-2baa732bb6c1</t>
  </si>
  <si>
    <t>https://articulo.mercadolibre.com.ar/MLA-810292860-cafetera-de-filtro-oster-dr5b-semi-automatica-06l-4-tazas-_JM?matt_tool=63621546&amp;matt_word&amp;gclid=CjwKCAjwk93rBRBLEiwAcMapUev_4XCVm-d1smNciyaI1GnrIxOZL1cNE50WUR94oVqgqOMbpNJC0hoCCLsQAvD_BwE&amp;quantity=1&amp;variation=42225068592</t>
  </si>
  <si>
    <t>https://articulo.mercadolibre.com.ar/MLA-683298573-tacho-de-basura-12lts-colombraro-cesto-p-residuos-_JM?quantity=1&amp;variation=32732180582#position=6&amp;type=item&amp;tracking_id=b9d3709d-15b5-4e34-81ba-fc3609dbf98c</t>
  </si>
  <si>
    <t>https://articulo.mercadolibre.com.ar/MLA-782995408-calculadora-teclas-numeros-grandes-escritorio-uso-comercial-_JM?quantity=1&amp;variation=35758726483#position=3&amp;type=item&amp;tracking_id=0defb8b2-f344-4c94-8caf-a90a2e662b1a</t>
  </si>
  <si>
    <t>https://articulo.mercadolibre.com.ar/MLA-758345517-cepillo-escobillon-anden-barrendero-60-cm-_JM?quantity=1#position=3&amp;type=item&amp;tracking_id=58f02dc7-e969-47a7-8ed2-1134448a8bbd</t>
  </si>
  <si>
    <t>https://articulo.mercadolibre.com.ar/MLA-781993021-cabo-fiorentina-basico-metalico-blanco-_JM?quantity=1#position=2&amp;type=item&amp;tracking_id=16dad367-abaa-4a8b-b1b2-e831a8dd3c36</t>
  </si>
  <si>
    <t>https://articulo.mercadolibre.com.ar/MLA-717696535-despensero-2-puertas-150cm-organizador-multifuncion-cocina--_JM?quantity=1&amp;onAttributesExp=true#position=3&amp;type=item&amp;tracking_id=b43a79f4-1a96-4c03-89bc-a2e12aa263a6</t>
  </si>
  <si>
    <t>https://articulo.mercadolibre.com.ar/MLA-741974291-escoba-fiorentina-de-exterior-forte-_JM?quantity=1#position=6&amp;type=item&amp;tracking_id=2d0c790f-1db6-479f-b197-1593f358d5e9</t>
  </si>
  <si>
    <t>https://articulo.mercadolibre.com.ar/MLA-760845122-aspiradora-industrial-15-litros-polvo-liquido-acero-inox-_JM?quantity=1#position=4&amp;type=item&amp;tracking_id=52c5600c-da86-48eb-9aa9-d38db4369934</t>
  </si>
  <si>
    <t>https://articulo.mercadolibre.com.ar/MLA-748776712-kit-limpieza-procenex-harpic-balde-de-regalo-_JM#position=2&amp;type=item&amp;tracking_id=d66430df-8828-4d23-8668-b630e16978e6</t>
  </si>
  <si>
    <t>A CONFIRMAR</t>
  </si>
  <si>
    <t>MOD MC y SE</t>
  </si>
  <si>
    <t>Gasto MOD</t>
  </si>
  <si>
    <t>Produccion</t>
  </si>
  <si>
    <t>Gasto específico</t>
  </si>
  <si>
    <t>Consumo MC en régimen</t>
  </si>
  <si>
    <t>Gasto PT</t>
  </si>
  <si>
    <t>Mano de Obra PRODU</t>
  </si>
  <si>
    <t>Hs. Anuales (h)</t>
  </si>
  <si>
    <t>Jornal ($/h)</t>
  </si>
  <si>
    <t>Carga Social (%)</t>
  </si>
  <si>
    <t>Gasto Total</t>
  </si>
  <si>
    <t>Año 2-5</t>
  </si>
  <si>
    <t>(Dim técnico)</t>
  </si>
  <si>
    <t xml:space="preserve">Se incorporará la mitad del consumo de MOD específico correspondiente </t>
  </si>
  <si>
    <t>Operario de armado</t>
  </si>
  <si>
    <t>Gasto MC y Se (2-5)</t>
  </si>
  <si>
    <t>Gasto PM</t>
  </si>
  <si>
    <t>Total (2-5)</t>
  </si>
  <si>
    <t>Total (1)</t>
  </si>
  <si>
    <t>Tipo de personal IND PRODU</t>
  </si>
  <si>
    <t>Sueldo mensual</t>
  </si>
  <si>
    <t>Carga Social
%</t>
  </si>
  <si>
    <t>Cantidad 
Imputada</t>
  </si>
  <si>
    <t>MOI MC y SE</t>
  </si>
  <si>
    <t>Gasto MOI</t>
  </si>
  <si>
    <t>Consumo MC régimen</t>
  </si>
  <si>
    <t>En el Año 1 es el 70%</t>
  </si>
  <si>
    <t xml:space="preserve">Se incorporará la mitad del consumo de MOI específico correspondiente </t>
  </si>
  <si>
    <t>Gasto MC y Se (1)</t>
  </si>
  <si>
    <t>Tipo de personal ADM</t>
  </si>
  <si>
    <t>https://www.argentina.gob.ar/trabajo/buscastrabajo/salario#aportes</t>
  </si>
  <si>
    <t xml:space="preserve">Total (2-5) </t>
  </si>
  <si>
    <t>Tipo de personal COMER</t>
  </si>
  <si>
    <t>Amortizaciones MC y SE</t>
  </si>
  <si>
    <t>Alícuota anual</t>
  </si>
  <si>
    <t>Producción</t>
  </si>
  <si>
    <t>Imputación esp.</t>
  </si>
  <si>
    <t>Incide en un 50%</t>
  </si>
  <si>
    <t xml:space="preserve">Año 1 </t>
  </si>
  <si>
    <t>Imputación del AF (Amortizaciones)</t>
  </si>
  <si>
    <t>PROD 80%</t>
  </si>
  <si>
    <t>COMER 10%</t>
  </si>
  <si>
    <t>ADMIN 10%</t>
  </si>
  <si>
    <t>Año 2 y 3</t>
  </si>
  <si>
    <t>Año 4 y 5</t>
  </si>
  <si>
    <t>Materiales PRODU</t>
  </si>
  <si>
    <t>Ítem</t>
  </si>
  <si>
    <t>Materiales ADMIN</t>
  </si>
  <si>
    <t>Materiales COMER</t>
  </si>
  <si>
    <t>Mantenimiento</t>
  </si>
  <si>
    <t>Bs de Uso</t>
  </si>
  <si>
    <t>Respuestos</t>
  </si>
  <si>
    <t>Útiles</t>
  </si>
  <si>
    <t>Costo Prod Anual</t>
  </si>
  <si>
    <t>Gasto MP</t>
  </si>
  <si>
    <t>Art. De Limpieza</t>
  </si>
  <si>
    <t>Sueldos</t>
  </si>
  <si>
    <t>Gasto personal</t>
  </si>
  <si>
    <t>Consumo mensual eléctrico</t>
  </si>
  <si>
    <t>Kwh</t>
  </si>
  <si>
    <t>Cargo fijo</t>
  </si>
  <si>
    <t>Cargo x Potencia</t>
  </si>
  <si>
    <t>Cargo Var</t>
  </si>
  <si>
    <t>Potencia instalada</t>
  </si>
  <si>
    <t>Kw</t>
  </si>
  <si>
    <t>$/mes</t>
  </si>
  <si>
    <t>$/kw</t>
  </si>
  <si>
    <t>$/kwh</t>
  </si>
  <si>
    <t>Electricidad total</t>
  </si>
  <si>
    <t>Electricidad PRODU</t>
  </si>
  <si>
    <t>90% del total</t>
  </si>
  <si>
    <t>% FIJO</t>
  </si>
  <si>
    <t>Varios ADMIN (semifijo)</t>
  </si>
  <si>
    <t xml:space="preserve">Electricidad ADMIN </t>
  </si>
  <si>
    <t>5% del total</t>
  </si>
  <si>
    <t>% VARIABLE</t>
  </si>
  <si>
    <t>Electricidad COMER</t>
  </si>
  <si>
    <t>ELECTRICIDAD</t>
  </si>
  <si>
    <t>Volumen de producción año 2 a 5</t>
  </si>
  <si>
    <t>$/u</t>
  </si>
  <si>
    <t>MP en proceso</t>
  </si>
  <si>
    <t>(dim tecnico)</t>
  </si>
  <si>
    <t>Gasto en la mercadería en proceso</t>
  </si>
  <si>
    <t>Año 2 al 5</t>
  </si>
  <si>
    <t>Año 1 (90%)</t>
  </si>
  <si>
    <t>Volumen de producción año 1</t>
  </si>
  <si>
    <t xml:space="preserve">Gasto en PT </t>
  </si>
  <si>
    <t>(dan 0 porque estan en funcion del costo anual de produccion aun no calculado)</t>
  </si>
  <si>
    <t>Exceso de gasto de energia electrica en la puesta en marcha</t>
  </si>
  <si>
    <t>Año 1-N</t>
  </si>
  <si>
    <t>Tasas e Impuestos ADMIN (semifijo)</t>
  </si>
  <si>
    <t>Honorarios profesionales</t>
  </si>
  <si>
    <t>Impuesto Automotor</t>
  </si>
  <si>
    <t>Gastos de representacion</t>
  </si>
  <si>
    <t>(2500 por mes)</t>
  </si>
  <si>
    <t>Impuesto a los sellos</t>
  </si>
  <si>
    <t>Viajes</t>
  </si>
  <si>
    <t>Impuesto a debitos/creditos</t>
  </si>
  <si>
    <t>Gastos de oficina</t>
  </si>
  <si>
    <t>Varios COMER (semifijo)</t>
  </si>
  <si>
    <t>Tasas e Impuestos COMER (semifijo)</t>
  </si>
  <si>
    <t>Ingreso Brutos</t>
  </si>
  <si>
    <t>Publicidad especializada</t>
  </si>
  <si>
    <t xml:space="preserve">Consumo MP </t>
  </si>
  <si>
    <t>MATERIA PRIMA</t>
  </si>
  <si>
    <t>2 al 5</t>
  </si>
  <si>
    <t>Año 2 a 5</t>
  </si>
  <si>
    <t>Consumo específico</t>
  </si>
  <si>
    <t>Gasto anual</t>
  </si>
  <si>
    <t>$</t>
  </si>
  <si>
    <t>Consumo Total de la materia prima</t>
  </si>
  <si>
    <t>Consumo de mP por producto terminado</t>
  </si>
  <si>
    <t>Consumo de MP en curso y SE</t>
  </si>
  <si>
    <t>Exceso en el consumo debido a la puesta en marcha</t>
  </si>
  <si>
    <t>Costo de la MP incorporada en la mercadería en curso y SE</t>
  </si>
  <si>
    <t>Costo del exeso de la MP en la puesta en marcha</t>
  </si>
  <si>
    <t>SON GASTOS VARIABLES</t>
  </si>
  <si>
    <t>MATERIALES</t>
  </si>
  <si>
    <t>Datos del tecnólogo</t>
  </si>
  <si>
    <t>Correspondencia del %</t>
  </si>
  <si>
    <t>otros %</t>
  </si>
  <si>
    <t>CALCULOS AUXILIARES</t>
  </si>
  <si>
    <t>del total anual de bienes de uso</t>
  </si>
  <si>
    <t>del total anual del gasto de MP</t>
  </si>
  <si>
    <t>del total anual de Personal</t>
  </si>
  <si>
    <t>TOTAL</t>
  </si>
  <si>
    <t>Los años 4 y 5 se incrementan los gastos de MTM y consumo de repuestos un 10%</t>
  </si>
  <si>
    <t>% Afectado de los bienes de uso en producción</t>
  </si>
  <si>
    <t>(así en la guía)</t>
  </si>
  <si>
    <t>Exceso de gasto de materiales en la puesta en marcha</t>
  </si>
  <si>
    <t>GASTO 100% VARIABLE</t>
  </si>
  <si>
    <t>TASAS E IMPUESTOS</t>
  </si>
  <si>
    <t>Gasto específico año 2 a 5</t>
  </si>
  <si>
    <t>Gasto por tasas e impuestos en la la mercadería en proceso año 2 al 5</t>
  </si>
  <si>
    <t>Tasa municipal</t>
  </si>
  <si>
    <t>del valor del inmueble</t>
  </si>
  <si>
    <t>es lo que corresponde a producción</t>
  </si>
  <si>
    <t>Impuesto inmobiliairio</t>
  </si>
  <si>
    <t xml:space="preserve">Gasto específico año 1 </t>
  </si>
  <si>
    <t>Valor del terreno + Valor del edificio</t>
  </si>
  <si>
    <t>Gasto por tasas e impuestos en la la mercadería en proceso año 1</t>
  </si>
  <si>
    <t xml:space="preserve">ES UN GASTO FIJO </t>
  </si>
  <si>
    <t>IMPREVISTOS</t>
  </si>
  <si>
    <t>Se tomará un porcentaje de imprevistos del</t>
  </si>
  <si>
    <t>Valores acumulados</t>
  </si>
  <si>
    <t>Stock promedio PT</t>
  </si>
  <si>
    <t>Stock elaborado al final-</t>
  </si>
  <si>
    <t>Stock elaborado al final +</t>
  </si>
  <si>
    <t>Variación</t>
  </si>
  <si>
    <t>Operario de corte</t>
  </si>
  <si>
    <t>Operario de aparado</t>
  </si>
  <si>
    <t>Operario de suela</t>
  </si>
  <si>
    <t xml:space="preserve">Operario de empaque </t>
  </si>
  <si>
    <t>Encargado de Produccion</t>
  </si>
  <si>
    <t>Director</t>
  </si>
  <si>
    <t>Analista Administracion</t>
  </si>
  <si>
    <t>Vendedor senior</t>
  </si>
  <si>
    <t>Vendedor</t>
  </si>
  <si>
    <t>Encargado de logistica</t>
  </si>
  <si>
    <t>https://www.edenor.com/_flysystem/s3/2019-05/CuadroTarifario.pdf</t>
  </si>
  <si>
    <t>(2917 por mes)</t>
  </si>
  <si>
    <t>Disponibilidad min CyB</t>
  </si>
  <si>
    <t>Porcentaje de ventas</t>
  </si>
  <si>
    <t>de los otros años</t>
  </si>
  <si>
    <t>Plazo de financiación</t>
  </si>
  <si>
    <t>30 días</t>
  </si>
  <si>
    <t>Canidad de mp por unidad</t>
  </si>
  <si>
    <t>Precio ($/u)</t>
  </si>
  <si>
    <t>Fuente</t>
  </si>
  <si>
    <t xml:space="preserve"> </t>
  </si>
  <si>
    <t>AÑO 2</t>
  </si>
  <si>
    <t>Ventas</t>
  </si>
  <si>
    <t>Stock promedio de PT</t>
  </si>
  <si>
    <t>Desperdicios no recuperables</t>
  </si>
  <si>
    <t>En curso y semielaborada</t>
  </si>
  <si>
    <t>Consumo de MP</t>
  </si>
  <si>
    <t>Stock de MP</t>
  </si>
  <si>
    <t>Compra de MP</t>
  </si>
  <si>
    <t>Area</t>
  </si>
  <si>
    <t xml:space="preserve">Stock equivalente al consumo de </t>
  </si>
  <si>
    <t>meses</t>
  </si>
  <si>
    <t>Administración</t>
  </si>
  <si>
    <t>Comercialización</t>
  </si>
  <si>
    <t>Stock de elaborado - incremento IVA inv.</t>
  </si>
  <si>
    <t>AÑO 3</t>
  </si>
  <si>
    <t>AÑO 4</t>
  </si>
  <si>
    <t>AÑO 5</t>
  </si>
  <si>
    <t>Incremento</t>
  </si>
  <si>
    <t>Ecocuero</t>
  </si>
  <si>
    <t>Base</t>
  </si>
  <si>
    <t>Forro</t>
  </si>
  <si>
    <t>Bases Beta</t>
  </si>
  <si>
    <t>Saxs</t>
  </si>
  <si>
    <t>Otros</t>
  </si>
  <si>
    <t>-</t>
  </si>
  <si>
    <t>a confirmar</t>
  </si>
  <si>
    <t>Año 1 90%</t>
  </si>
  <si>
    <t>Volumen de producción año 4 a 5</t>
  </si>
  <si>
    <t>Volumen de producción año 2 y 3</t>
  </si>
  <si>
    <t>AMORTIZACIONES EN ACTIVO FIJO (FALTABA)</t>
  </si>
  <si>
    <t>Unidades</t>
  </si>
  <si>
    <t>CV</t>
  </si>
  <si>
    <t>CF</t>
  </si>
  <si>
    <t>CT</t>
  </si>
  <si>
    <t>I x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</si>
</sst>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_-;\-* #,##0.00_-;_-* &quot;-&quot;??_-;_-@_-"/>
    <numFmt numFmtId="165" formatCode="_(\$* #,##0.00_);_(\$* \(#,##0.00\);_(\$* \-??_);_(@_)"/>
    <numFmt numFmtId="166" formatCode="0.0"/>
    <numFmt numFmtId="167" formatCode="0.000"/>
    <numFmt numFmtId="168" formatCode="_(* #,##0.00_);_(* \(#,##0.00\);_(* \-??_);_(@_)"/>
    <numFmt numFmtId="169" formatCode="d&quot; de &quot;mmm&quot; de &quot;yy"/>
    <numFmt numFmtId="170" formatCode="0\ %"/>
    <numFmt numFmtId="171" formatCode="&quot;$ &quot;#,##0.00"/>
    <numFmt numFmtId="172" formatCode="&quot;$ &quot;#,##0_);[Red]&quot;($ &quot;#,##0\)"/>
    <numFmt numFmtId="173" formatCode="&quot;$&quot;#,##0;[Red]&quot;$&quot;#,##0"/>
    <numFmt numFmtId="174" formatCode="0.00\ %"/>
    <numFmt numFmtId="175" formatCode="dd\-mmm"/>
    <numFmt numFmtId="176" formatCode="_(* #,##0_);_(* \(#,##0\);_(* \-??_);_(@_)"/>
    <numFmt numFmtId="177" formatCode="_(\$* #,##0_);_(\$* \(#,##0\);_(\$* \-??_);_(@_)"/>
  </numFmts>
  <fonts count="31" x14ac:knownFonts="1">
    <font>
      <sz val="10"/>
      <name val="Arial"/>
      <family val="2"/>
    </font>
    <font>
      <sz val="10"/>
      <name val="Arial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b/>
      <sz val="24"/>
      <color indexed="8"/>
      <name val="Arial"/>
      <family val="2"/>
    </font>
    <font>
      <sz val="10"/>
      <color indexed="19"/>
      <name val="Arial"/>
      <family val="2"/>
    </font>
    <font>
      <sz val="10"/>
      <color indexed="6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  <charset val="1"/>
    </font>
    <font>
      <b/>
      <sz val="10"/>
      <color indexed="9"/>
      <name val="Arial"/>
      <family val="2"/>
      <charset val="1"/>
    </font>
    <font>
      <sz val="10"/>
      <color indexed="9"/>
      <name val="Arial"/>
      <family val="2"/>
      <charset val="1"/>
    </font>
    <font>
      <b/>
      <sz val="12"/>
      <name val="Arial"/>
      <family val="2"/>
    </font>
    <font>
      <sz val="12"/>
      <name val="Symbol"/>
      <family val="1"/>
      <charset val="2"/>
    </font>
    <font>
      <sz val="10"/>
      <name val="Arial"/>
      <family val="2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u/>
      <sz val="10"/>
      <color theme="10"/>
      <name val="Arial"/>
      <family val="2"/>
    </font>
    <font>
      <sz val="10"/>
      <name val="Arial"/>
      <family val="2"/>
      <charset val="1"/>
    </font>
    <font>
      <b/>
      <i/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b/>
      <sz val="10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b/>
      <sz val="10"/>
      <color theme="0"/>
      <name val="Arial"/>
      <family val="2"/>
      <charset val="1"/>
    </font>
    <font>
      <sz val="11"/>
      <name val="Arial"/>
      <family val="2"/>
      <charset val="1"/>
    </font>
  </fonts>
  <fills count="22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57"/>
        <bgColor indexed="23"/>
      </patternFill>
    </fill>
    <fill>
      <patternFill patternType="solid">
        <fgColor indexed="10"/>
        <bgColor indexed="16"/>
      </patternFill>
    </fill>
    <fill>
      <patternFill patternType="solid">
        <fgColor indexed="22"/>
        <bgColor indexed="31"/>
      </patternFill>
    </fill>
    <fill>
      <patternFill patternType="solid">
        <fgColor indexed="53"/>
        <bgColor indexed="10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rgb="FFED1C24"/>
      </patternFill>
    </fill>
    <fill>
      <patternFill patternType="solid">
        <fgColor rgb="FF548235"/>
        <bgColor rgb="FF636363"/>
      </patternFill>
    </fill>
    <fill>
      <patternFill patternType="solid">
        <fgColor rgb="FFFFFF00"/>
        <bgColor rgb="FFFFF200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 style="double">
        <color indexed="59"/>
      </left>
      <right style="thin">
        <color indexed="59"/>
      </right>
      <top/>
      <bottom style="hair">
        <color indexed="59"/>
      </bottom>
      <diagonal/>
    </border>
    <border>
      <left style="thin">
        <color indexed="59"/>
      </left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/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 style="double">
        <color indexed="59"/>
      </top>
      <bottom style="hair">
        <color indexed="59"/>
      </bottom>
      <diagonal/>
    </border>
    <border>
      <left/>
      <right/>
      <top style="double">
        <color indexed="59"/>
      </top>
      <bottom style="hair">
        <color indexed="59"/>
      </bottom>
      <diagonal/>
    </border>
    <border>
      <left/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double">
        <color indexed="59"/>
      </right>
      <top style="hair">
        <color indexed="59"/>
      </top>
      <bottom/>
      <diagonal/>
    </border>
    <border>
      <left/>
      <right/>
      <top style="hair">
        <color indexed="59"/>
      </top>
      <bottom style="hair">
        <color indexed="59"/>
      </bottom>
      <diagonal/>
    </border>
    <border>
      <left/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/>
      <bottom style="hair">
        <color indexed="59"/>
      </bottom>
      <diagonal/>
    </border>
    <border>
      <left style="thin">
        <color indexed="59"/>
      </left>
      <right/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/>
      <bottom style="hair">
        <color indexed="59"/>
      </bottom>
      <diagonal/>
    </border>
    <border>
      <left/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/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/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/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thin">
        <color indexed="59"/>
      </bottom>
      <diagonal/>
    </border>
    <border>
      <left style="double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double">
        <color indexed="59"/>
      </right>
      <top/>
      <bottom/>
      <diagonal/>
    </border>
    <border>
      <left style="double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double">
        <color indexed="59"/>
      </right>
      <top/>
      <bottom style="double">
        <color indexed="59"/>
      </bottom>
      <diagonal/>
    </border>
    <border>
      <left style="double">
        <color indexed="59"/>
      </left>
      <right/>
      <top/>
      <bottom style="double">
        <color indexed="59"/>
      </bottom>
      <diagonal/>
    </border>
    <border>
      <left style="thin">
        <color indexed="59"/>
      </left>
      <right/>
      <top style="double">
        <color indexed="59"/>
      </top>
      <bottom style="hair">
        <color indexed="5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5" borderId="0" applyNumberFormat="0" applyBorder="0" applyAlignment="0" applyProtection="0"/>
    <xf numFmtId="168" fontId="20" fillId="0" borderId="0" applyFill="0" applyBorder="0" applyAlignment="0" applyProtection="0"/>
    <xf numFmtId="165" fontId="20" fillId="0" borderId="0" applyFill="0" applyBorder="0" applyAlignment="0" applyProtection="0"/>
    <xf numFmtId="0" fontId="5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1" applyNumberFormat="0" applyAlignment="0" applyProtection="0"/>
    <xf numFmtId="9" fontId="20" fillId="0" borderId="0" applyFill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4" fillId="0" borderId="0"/>
    <xf numFmtId="168" fontId="24" fillId="0" borderId="0" applyBorder="0" applyProtection="0"/>
    <xf numFmtId="165" fontId="24" fillId="0" borderId="0" applyBorder="0" applyProtection="0"/>
    <xf numFmtId="170" fontId="24" fillId="0" borderId="0" applyBorder="0" applyProtection="0"/>
    <xf numFmtId="0" fontId="26" fillId="0" borderId="0" applyBorder="0" applyProtection="0"/>
  </cellStyleXfs>
  <cellXfs count="392">
    <xf numFmtId="0" fontId="0" fillId="0" borderId="0" xfId="0"/>
    <xf numFmtId="0" fontId="13" fillId="0" borderId="0" xfId="0" applyFont="1"/>
    <xf numFmtId="0" fontId="14" fillId="0" borderId="2" xfId="0" applyFont="1" applyBorder="1"/>
    <xf numFmtId="0" fontId="14" fillId="0" borderId="0" xfId="0" applyFont="1" applyAlignment="1">
      <alignment horizontal="right"/>
    </xf>
    <xf numFmtId="9" fontId="14" fillId="7" borderId="2" xfId="17" applyFont="1" applyFill="1" applyBorder="1" applyAlignment="1" applyProtection="1"/>
    <xf numFmtId="10" fontId="14" fillId="7" borderId="2" xfId="17" applyNumberFormat="1" applyFont="1" applyFill="1" applyBorder="1" applyAlignment="1" applyProtection="1"/>
    <xf numFmtId="0" fontId="0" fillId="0" borderId="0" xfId="0" applyFont="1" applyAlignment="1">
      <alignment horizontal="right"/>
    </xf>
    <xf numFmtId="0" fontId="14" fillId="7" borderId="2" xfId="0" applyFont="1" applyFill="1" applyBorder="1" applyAlignment="1">
      <alignment horizontal="center"/>
    </xf>
    <xf numFmtId="0" fontId="0" fillId="11" borderId="3" xfId="0" applyFill="1" applyBorder="1" applyProtection="1">
      <protection locked="0"/>
    </xf>
    <xf numFmtId="0" fontId="0" fillId="11" borderId="4" xfId="0" applyFill="1" applyBorder="1"/>
    <xf numFmtId="0" fontId="0" fillId="11" borderId="5" xfId="0" applyFill="1" applyBorder="1"/>
    <xf numFmtId="0" fontId="0" fillId="11" borderId="2" xfId="0" applyFill="1" applyBorder="1" applyProtection="1">
      <protection locked="0"/>
    </xf>
    <xf numFmtId="0" fontId="14" fillId="0" borderId="0" xfId="0" applyFont="1"/>
    <xf numFmtId="0" fontId="0" fillId="11" borderId="6" xfId="0" applyFill="1" applyBorder="1" applyProtection="1">
      <protection locked="0"/>
    </xf>
    <xf numFmtId="0" fontId="2" fillId="0" borderId="0" xfId="0" applyFont="1"/>
    <xf numFmtId="0" fontId="0" fillId="11" borderId="7" xfId="0" applyFill="1" applyBorder="1" applyProtection="1">
      <protection locked="0"/>
    </xf>
    <xf numFmtId="0" fontId="0" fillId="0" borderId="0" xfId="0" applyFill="1"/>
    <xf numFmtId="0" fontId="18" fillId="0" borderId="8" xfId="0" applyFont="1" applyFill="1" applyBorder="1"/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8" fillId="0" borderId="11" xfId="0" applyFont="1" applyFill="1" applyBorder="1"/>
    <xf numFmtId="0" fontId="14" fillId="0" borderId="12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0" fillId="0" borderId="14" xfId="0" applyFill="1" applyBorder="1"/>
    <xf numFmtId="0" fontId="0" fillId="0" borderId="15" xfId="0" applyFill="1" applyBorder="1"/>
    <xf numFmtId="0" fontId="14" fillId="0" borderId="16" xfId="0" applyFont="1" applyFill="1" applyBorder="1"/>
    <xf numFmtId="0" fontId="0" fillId="0" borderId="17" xfId="0" applyFill="1" applyBorder="1"/>
    <xf numFmtId="0" fontId="0" fillId="0" borderId="16" xfId="0" applyFont="1" applyFill="1" applyBorder="1"/>
    <xf numFmtId="165" fontId="0" fillId="0" borderId="17" xfId="7" applyFont="1" applyFill="1" applyBorder="1" applyAlignment="1" applyProtection="1">
      <protection locked="0"/>
    </xf>
    <xf numFmtId="0" fontId="0" fillId="0" borderId="16" xfId="0" applyFont="1" applyFill="1" applyBorder="1" applyAlignment="1">
      <alignment horizontal="left"/>
    </xf>
    <xf numFmtId="165" fontId="0" fillId="0" borderId="17" xfId="7" applyFont="1" applyFill="1" applyBorder="1" applyAlignment="1" applyProtection="1"/>
    <xf numFmtId="0" fontId="14" fillId="0" borderId="11" xfId="0" applyFont="1" applyFill="1" applyBorder="1" applyAlignment="1">
      <alignment horizontal="left"/>
    </xf>
    <xf numFmtId="165" fontId="0" fillId="0" borderId="12" xfId="7" applyFont="1" applyFill="1" applyBorder="1" applyAlignment="1" applyProtection="1">
      <protection locked="0"/>
    </xf>
    <xf numFmtId="0" fontId="14" fillId="0" borderId="8" xfId="0" applyFont="1" applyFill="1" applyBorder="1" applyAlignment="1">
      <alignment horizontal="center"/>
    </xf>
    <xf numFmtId="0" fontId="14" fillId="0" borderId="10" xfId="0" applyFont="1" applyFill="1" applyBorder="1"/>
    <xf numFmtId="0" fontId="14" fillId="0" borderId="11" xfId="0" applyFont="1" applyFill="1" applyBorder="1"/>
    <xf numFmtId="0" fontId="14" fillId="0" borderId="13" xfId="0" applyFont="1" applyFill="1" applyBorder="1"/>
    <xf numFmtId="0" fontId="14" fillId="0" borderId="8" xfId="0" applyFont="1" applyFill="1" applyBorder="1"/>
    <xf numFmtId="165" fontId="0" fillId="0" borderId="9" xfId="7" applyFont="1" applyFill="1" applyBorder="1" applyAlignment="1" applyProtection="1"/>
    <xf numFmtId="0" fontId="0" fillId="0" borderId="9" xfId="0" applyFill="1" applyBorder="1" applyAlignment="1">
      <alignment horizontal="center"/>
    </xf>
    <xf numFmtId="0" fontId="0" fillId="0" borderId="10" xfId="0" applyFill="1" applyBorder="1"/>
    <xf numFmtId="0" fontId="14" fillId="0" borderId="14" xfId="0" applyFont="1" applyFill="1" applyBorder="1"/>
    <xf numFmtId="165" fontId="0" fillId="0" borderId="15" xfId="7" applyFont="1" applyFill="1" applyBorder="1" applyAlignment="1" applyProtection="1"/>
    <xf numFmtId="0" fontId="0" fillId="0" borderId="15" xfId="0" applyFill="1" applyBorder="1" applyAlignment="1">
      <alignment horizontal="center"/>
    </xf>
    <xf numFmtId="0" fontId="0" fillId="0" borderId="18" xfId="0" applyFill="1" applyBorder="1"/>
    <xf numFmtId="165" fontId="0" fillId="0" borderId="19" xfId="7" applyFont="1" applyFill="1" applyBorder="1" applyAlignment="1" applyProtection="1">
      <protection locked="0"/>
    </xf>
    <xf numFmtId="0" fontId="14" fillId="0" borderId="16" xfId="0" applyFont="1" applyFill="1" applyBorder="1" applyAlignment="1">
      <alignment horizontal="left"/>
    </xf>
    <xf numFmtId="166" fontId="0" fillId="0" borderId="17" xfId="0" applyNumberForma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166" fontId="0" fillId="0" borderId="19" xfId="0" applyNumberFormat="1" applyFill="1" applyBorder="1"/>
    <xf numFmtId="166" fontId="0" fillId="0" borderId="0" xfId="0" applyNumberFormat="1" applyFill="1"/>
    <xf numFmtId="165" fontId="0" fillId="0" borderId="13" xfId="7" applyFont="1" applyFill="1" applyBorder="1" applyAlignment="1" applyProtection="1">
      <protection locked="0"/>
    </xf>
    <xf numFmtId="166" fontId="14" fillId="0" borderId="0" xfId="0" applyNumberFormat="1" applyFont="1" applyFill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14" fillId="0" borderId="17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165" fontId="0" fillId="0" borderId="15" xfId="7" applyFont="1" applyFill="1" applyBorder="1" applyAlignment="1" applyProtection="1">
      <alignment horizontal="center"/>
      <protection locked="0"/>
    </xf>
    <xf numFmtId="165" fontId="0" fillId="0" borderId="18" xfId="7" applyFont="1" applyFill="1" applyBorder="1" applyAlignment="1" applyProtection="1">
      <alignment horizontal="center"/>
      <protection locked="0"/>
    </xf>
    <xf numFmtId="165" fontId="0" fillId="0" borderId="17" xfId="7" applyFont="1" applyFill="1" applyBorder="1" applyAlignment="1" applyProtection="1">
      <alignment horizontal="center"/>
      <protection locked="0"/>
    </xf>
    <xf numFmtId="165" fontId="0" fillId="0" borderId="19" xfId="7" applyFont="1" applyFill="1" applyBorder="1" applyAlignment="1" applyProtection="1">
      <alignment horizontal="center"/>
      <protection locked="0"/>
    </xf>
    <xf numFmtId="166" fontId="0" fillId="0" borderId="17" xfId="0" applyNumberFormat="1" applyFill="1" applyBorder="1" applyAlignment="1" applyProtection="1">
      <alignment horizontal="center"/>
      <protection locked="0"/>
    </xf>
    <xf numFmtId="0" fontId="0" fillId="0" borderId="23" xfId="0" applyFill="1" applyBorder="1"/>
    <xf numFmtId="166" fontId="0" fillId="0" borderId="24" xfId="0" applyNumberFormat="1" applyFill="1" applyBorder="1" applyAlignment="1">
      <alignment horizontal="center"/>
    </xf>
    <xf numFmtId="166" fontId="0" fillId="0" borderId="25" xfId="0" applyNumberFormat="1" applyFill="1" applyBorder="1"/>
    <xf numFmtId="0" fontId="14" fillId="0" borderId="23" xfId="0" applyFont="1" applyFill="1" applyBorder="1"/>
    <xf numFmtId="165" fontId="0" fillId="0" borderId="12" xfId="7" applyFont="1" applyFill="1" applyBorder="1" applyAlignment="1" applyProtection="1">
      <alignment horizontal="center"/>
      <protection locked="0"/>
    </xf>
    <xf numFmtId="165" fontId="0" fillId="0" borderId="13" xfId="7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14" fillId="0" borderId="0" xfId="0" applyFont="1" applyFill="1"/>
    <xf numFmtId="167" fontId="0" fillId="0" borderId="0" xfId="0" applyNumberFormat="1" applyFill="1" applyAlignment="1">
      <alignment horizontal="center"/>
    </xf>
    <xf numFmtId="167" fontId="14" fillId="0" borderId="9" xfId="0" applyNumberFormat="1" applyFont="1" applyFill="1" applyBorder="1" applyAlignment="1">
      <alignment horizontal="center"/>
    </xf>
    <xf numFmtId="167" fontId="14" fillId="0" borderId="10" xfId="0" applyNumberFormat="1" applyFont="1" applyFill="1" applyBorder="1" applyAlignment="1">
      <alignment horizontal="center"/>
    </xf>
    <xf numFmtId="165" fontId="0" fillId="0" borderId="24" xfId="7" applyFont="1" applyFill="1" applyBorder="1" applyAlignment="1" applyProtection="1">
      <alignment horizontal="center"/>
      <protection locked="0"/>
    </xf>
    <xf numFmtId="165" fontId="0" fillId="0" borderId="25" xfId="7" applyFont="1" applyFill="1" applyBorder="1" applyAlignment="1" applyProtection="1">
      <alignment horizontal="center"/>
      <protection locked="0"/>
    </xf>
    <xf numFmtId="9" fontId="0" fillId="0" borderId="24" xfId="17" applyFont="1" applyFill="1" applyBorder="1" applyAlignment="1" applyProtection="1">
      <alignment horizontal="center"/>
      <protection locked="0"/>
    </xf>
    <xf numFmtId="9" fontId="0" fillId="0" borderId="12" xfId="17" applyFont="1" applyFill="1" applyBorder="1" applyAlignment="1" applyProtection="1">
      <alignment horizontal="center"/>
      <protection locked="0"/>
    </xf>
    <xf numFmtId="9" fontId="0" fillId="0" borderId="13" xfId="17" applyFont="1" applyFill="1" applyBorder="1" applyAlignment="1" applyProtection="1">
      <alignment horizontal="center"/>
      <protection locked="0"/>
    </xf>
    <xf numFmtId="0" fontId="14" fillId="0" borderId="11" xfId="0" applyFont="1" applyFill="1" applyBorder="1" applyAlignment="1">
      <alignment horizontal="center"/>
    </xf>
    <xf numFmtId="165" fontId="0" fillId="0" borderId="9" xfId="7" applyFont="1" applyFill="1" applyBorder="1" applyAlignment="1" applyProtection="1">
      <alignment horizontal="center"/>
      <protection locked="0"/>
    </xf>
    <xf numFmtId="165" fontId="0" fillId="0" borderId="10" xfId="7" applyFont="1" applyFill="1" applyBorder="1" applyAlignment="1" applyProtection="1">
      <alignment horizontal="center"/>
      <protection locked="0"/>
    </xf>
    <xf numFmtId="165" fontId="0" fillId="0" borderId="17" xfId="7" applyFont="1" applyFill="1" applyBorder="1" applyAlignment="1" applyProtection="1">
      <alignment horizontal="center"/>
    </xf>
    <xf numFmtId="165" fontId="0" fillId="0" borderId="19" xfId="7" applyFont="1" applyFill="1" applyBorder="1" applyAlignment="1" applyProtection="1">
      <alignment horizontal="center"/>
    </xf>
    <xf numFmtId="9" fontId="0" fillId="0" borderId="17" xfId="17" applyFont="1" applyFill="1" applyBorder="1" applyAlignment="1" applyProtection="1">
      <alignment horizontal="center"/>
      <protection locked="0"/>
    </xf>
    <xf numFmtId="9" fontId="0" fillId="0" borderId="19" xfId="17" applyFont="1" applyFill="1" applyBorder="1" applyAlignment="1" applyProtection="1">
      <alignment horizontal="center"/>
      <protection locked="0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168" fontId="0" fillId="0" borderId="17" xfId="6" applyFont="1" applyFill="1" applyBorder="1" applyAlignment="1" applyProtection="1">
      <alignment horizontal="center"/>
      <protection locked="0"/>
    </xf>
    <xf numFmtId="168" fontId="0" fillId="0" borderId="19" xfId="6" applyFont="1" applyFill="1" applyBorder="1" applyAlignment="1" applyProtection="1">
      <alignment horizontal="center"/>
      <protection locked="0"/>
    </xf>
    <xf numFmtId="165" fontId="14" fillId="0" borderId="17" xfId="7" applyFont="1" applyFill="1" applyBorder="1" applyAlignment="1" applyProtection="1">
      <alignment horizontal="center"/>
      <protection locked="0"/>
    </xf>
    <xf numFmtId="165" fontId="14" fillId="0" borderId="19" xfId="7" applyFont="1" applyFill="1" applyBorder="1" applyAlignment="1" applyProtection="1">
      <alignment horizontal="center"/>
      <protection locked="0"/>
    </xf>
    <xf numFmtId="165" fontId="14" fillId="0" borderId="17" xfId="7" applyFont="1" applyFill="1" applyBorder="1" applyAlignment="1" applyProtection="1">
      <alignment horizontal="center"/>
    </xf>
    <xf numFmtId="165" fontId="14" fillId="0" borderId="19" xfId="7" applyFont="1" applyFill="1" applyBorder="1" applyAlignment="1" applyProtection="1">
      <alignment horizontal="center"/>
    </xf>
    <xf numFmtId="9" fontId="0" fillId="0" borderId="17" xfId="17" applyFont="1" applyFill="1" applyBorder="1" applyAlignment="1" applyProtection="1">
      <protection locked="0"/>
    </xf>
    <xf numFmtId="9" fontId="0" fillId="0" borderId="19" xfId="17" applyFont="1" applyFill="1" applyBorder="1" applyAlignment="1" applyProtection="1">
      <protection locked="0"/>
    </xf>
    <xf numFmtId="9" fontId="0" fillId="0" borderId="17" xfId="17" applyFont="1" applyFill="1" applyBorder="1" applyAlignment="1" applyProtection="1"/>
    <xf numFmtId="9" fontId="0" fillId="0" borderId="19" xfId="17" applyFont="1" applyFill="1" applyBorder="1" applyAlignment="1" applyProtection="1"/>
    <xf numFmtId="165" fontId="0" fillId="0" borderId="19" xfId="7" applyFont="1" applyFill="1" applyBorder="1" applyAlignment="1" applyProtection="1"/>
    <xf numFmtId="0" fontId="18" fillId="0" borderId="0" xfId="0" applyFont="1" applyFill="1"/>
    <xf numFmtId="0" fontId="0" fillId="0" borderId="0" xfId="0" applyBorder="1"/>
    <xf numFmtId="0" fontId="14" fillId="0" borderId="26" xfId="0" applyFont="1" applyFill="1" applyBorder="1"/>
    <xf numFmtId="165" fontId="0" fillId="0" borderId="15" xfId="7" applyFont="1" applyFill="1" applyBorder="1" applyAlignment="1" applyProtection="1">
      <alignment horizontal="center"/>
    </xf>
    <xf numFmtId="165" fontId="0" fillId="0" borderId="18" xfId="7" applyFont="1" applyFill="1" applyBorder="1" applyAlignment="1" applyProtection="1">
      <alignment horizontal="center"/>
    </xf>
    <xf numFmtId="0" fontId="0" fillId="0" borderId="26" xfId="0" applyFill="1" applyBorder="1"/>
    <xf numFmtId="0" fontId="14" fillId="0" borderId="27" xfId="0" applyFont="1" applyFill="1" applyBorder="1"/>
    <xf numFmtId="0" fontId="14" fillId="0" borderId="12" xfId="0" applyFont="1" applyFill="1" applyBorder="1" applyAlignment="1">
      <alignment horizontal="center" wrapText="1"/>
    </xf>
    <xf numFmtId="0" fontId="14" fillId="0" borderId="28" xfId="0" applyFont="1" applyFill="1" applyBorder="1" applyAlignment="1">
      <alignment horizontal="center"/>
    </xf>
    <xf numFmtId="165" fontId="0" fillId="0" borderId="29" xfId="7" applyFont="1" applyFill="1" applyBorder="1" applyAlignment="1" applyProtection="1">
      <alignment horizontal="center"/>
    </xf>
    <xf numFmtId="0" fontId="0" fillId="0" borderId="26" xfId="0" applyFont="1" applyFill="1" applyBorder="1"/>
    <xf numFmtId="165" fontId="0" fillId="0" borderId="30" xfId="7" applyFont="1" applyFill="1" applyBorder="1" applyAlignment="1" applyProtection="1">
      <alignment horizontal="center"/>
      <protection locked="0"/>
    </xf>
    <xf numFmtId="165" fontId="0" fillId="0" borderId="30" xfId="7" applyFont="1" applyFill="1" applyBorder="1" applyAlignment="1" applyProtection="1">
      <alignment horizontal="center"/>
    </xf>
    <xf numFmtId="165" fontId="0" fillId="0" borderId="28" xfId="7" applyFont="1" applyFill="1" applyBorder="1" applyAlignment="1" applyProtection="1">
      <alignment horizontal="center"/>
      <protection locked="0"/>
    </xf>
    <xf numFmtId="0" fontId="18" fillId="0" borderId="20" xfId="0" applyFont="1" applyFill="1" applyBorder="1" applyAlignment="1">
      <alignment horizontal="left"/>
    </xf>
    <xf numFmtId="0" fontId="18" fillId="0" borderId="31" xfId="0" applyFont="1" applyFill="1" applyBorder="1" applyAlignment="1">
      <alignment horizontal="left"/>
    </xf>
    <xf numFmtId="0" fontId="18" fillId="0" borderId="26" xfId="0" applyFont="1" applyFill="1" applyBorder="1" applyAlignment="1">
      <alignment horizontal="center"/>
    </xf>
    <xf numFmtId="0" fontId="18" fillId="0" borderId="3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14" fillId="0" borderId="33" xfId="0" applyFont="1" applyFill="1" applyBorder="1"/>
    <xf numFmtId="165" fontId="0" fillId="0" borderId="34" xfId="7" applyFont="1" applyFill="1" applyBorder="1" applyAlignment="1" applyProtection="1">
      <alignment horizontal="center"/>
    </xf>
    <xf numFmtId="0" fontId="0" fillId="0" borderId="35" xfId="0" applyFont="1" applyFill="1" applyBorder="1"/>
    <xf numFmtId="165" fontId="0" fillId="0" borderId="36" xfId="7" applyFont="1" applyFill="1" applyBorder="1" applyAlignment="1" applyProtection="1">
      <alignment horizontal="center"/>
      <protection locked="0"/>
    </xf>
    <xf numFmtId="0" fontId="14" fillId="0" borderId="35" xfId="0" applyFont="1" applyFill="1" applyBorder="1"/>
    <xf numFmtId="165" fontId="0" fillId="0" borderId="36" xfId="7" applyFont="1" applyFill="1" applyBorder="1" applyAlignment="1" applyProtection="1">
      <alignment horizontal="center"/>
    </xf>
    <xf numFmtId="0" fontId="14" fillId="0" borderId="35" xfId="0" applyFont="1" applyFill="1" applyBorder="1" applyAlignment="1">
      <alignment horizontal="left"/>
    </xf>
    <xf numFmtId="0" fontId="14" fillId="0" borderId="37" xfId="0" applyFont="1" applyFill="1" applyBorder="1"/>
    <xf numFmtId="165" fontId="0" fillId="0" borderId="38" xfId="7" applyFont="1" applyFill="1" applyBorder="1" applyAlignment="1" applyProtection="1">
      <alignment horizontal="center"/>
      <protection locked="0"/>
    </xf>
    <xf numFmtId="0" fontId="14" fillId="0" borderId="28" xfId="0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center" wrapText="1"/>
    </xf>
    <xf numFmtId="0" fontId="14" fillId="0" borderId="33" xfId="0" applyFont="1" applyFill="1" applyBorder="1" applyAlignment="1">
      <alignment horizontal="center"/>
    </xf>
    <xf numFmtId="165" fontId="0" fillId="0" borderId="34" xfId="7" applyFont="1" applyFill="1" applyBorder="1" applyAlignment="1" applyProtection="1">
      <alignment horizontal="center"/>
      <protection locked="0"/>
    </xf>
    <xf numFmtId="165" fontId="0" fillId="0" borderId="29" xfId="7" applyFont="1" applyFill="1" applyBorder="1" applyAlignment="1" applyProtection="1">
      <alignment horizontal="center"/>
      <protection locked="0"/>
    </xf>
    <xf numFmtId="0" fontId="14" fillId="0" borderId="35" xfId="0" applyFont="1" applyFill="1" applyBorder="1" applyAlignment="1">
      <alignment horizontal="center"/>
    </xf>
    <xf numFmtId="0" fontId="14" fillId="0" borderId="37" xfId="0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165" fontId="0" fillId="0" borderId="2" xfId="7" applyFont="1" applyFill="1" applyBorder="1" applyAlignment="1" applyProtection="1">
      <protection locked="0"/>
    </xf>
    <xf numFmtId="0" fontId="0" fillId="0" borderId="2" xfId="0" applyFill="1" applyBorder="1" applyProtection="1">
      <protection locked="0"/>
    </xf>
    <xf numFmtId="9" fontId="0" fillId="0" borderId="2" xfId="17" applyFont="1" applyFill="1" applyBorder="1" applyAlignment="1" applyProtection="1">
      <protection locked="0"/>
    </xf>
    <xf numFmtId="0" fontId="0" fillId="0" borderId="0" xfId="0" applyBorder="1" applyAlignment="1" applyProtection="1">
      <alignment horizontal="center"/>
    </xf>
    <xf numFmtId="0" fontId="5" fillId="12" borderId="39" xfId="0" applyFont="1" applyFill="1" applyBorder="1" applyProtection="1"/>
    <xf numFmtId="0" fontId="0" fillId="0" borderId="39" xfId="0" applyBorder="1" applyAlignment="1" applyProtection="1">
      <alignment horizontal="center"/>
    </xf>
    <xf numFmtId="0" fontId="0" fillId="0" borderId="2" xfId="0" applyBorder="1"/>
    <xf numFmtId="0" fontId="18" fillId="0" borderId="8" xfId="0" applyFont="1" applyFill="1" applyBorder="1" applyAlignment="1">
      <alignment horizontal="left"/>
    </xf>
    <xf numFmtId="0" fontId="14" fillId="0" borderId="17" xfId="0" applyFont="1" applyFill="1" applyBorder="1" applyAlignment="1" applyProtection="1">
      <alignment horizontal="center"/>
      <protection locked="0"/>
    </xf>
    <xf numFmtId="0" fontId="14" fillId="0" borderId="19" xfId="0" applyFont="1" applyFill="1" applyBorder="1" applyAlignment="1" applyProtection="1">
      <alignment horizontal="center"/>
      <protection locked="0"/>
    </xf>
    <xf numFmtId="165" fontId="14" fillId="0" borderId="12" xfId="7" applyFont="1" applyFill="1" applyBorder="1" applyAlignment="1" applyProtection="1">
      <alignment horizontal="center"/>
      <protection locked="0"/>
    </xf>
    <xf numFmtId="9" fontId="14" fillId="0" borderId="12" xfId="17" applyFont="1" applyFill="1" applyBorder="1" applyAlignment="1" applyProtection="1">
      <alignment horizontal="center"/>
      <protection locked="0"/>
    </xf>
    <xf numFmtId="9" fontId="14" fillId="0" borderId="13" xfId="17" applyFont="1" applyFill="1" applyBorder="1" applyAlignment="1" applyProtection="1">
      <alignment horizontal="center"/>
      <protection locked="0"/>
    </xf>
    <xf numFmtId="1" fontId="14" fillId="0" borderId="0" xfId="0" applyNumberFormat="1" applyFont="1" applyFill="1" applyAlignment="1">
      <alignment horizontal="center"/>
    </xf>
    <xf numFmtId="0" fontId="18" fillId="0" borderId="40" xfId="0" applyFont="1" applyFill="1" applyBorder="1" applyAlignment="1">
      <alignment horizontal="left"/>
    </xf>
    <xf numFmtId="0" fontId="18" fillId="0" borderId="41" xfId="0" applyFont="1" applyFill="1" applyBorder="1" applyAlignment="1">
      <alignment horizontal="left"/>
    </xf>
    <xf numFmtId="0" fontId="18" fillId="0" borderId="42" xfId="0" applyFont="1" applyFill="1" applyBorder="1" applyAlignment="1">
      <alignment horizontal="left"/>
    </xf>
    <xf numFmtId="0" fontId="14" fillId="0" borderId="43" xfId="0" applyFont="1" applyFill="1" applyBorder="1" applyAlignment="1">
      <alignment horizontal="center"/>
    </xf>
    <xf numFmtId="0" fontId="14" fillId="0" borderId="44" xfId="0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/>
    </xf>
    <xf numFmtId="0" fontId="14" fillId="0" borderId="46" xfId="0" applyFont="1" applyFill="1" applyBorder="1" applyAlignment="1">
      <alignment horizontal="center"/>
    </xf>
    <xf numFmtId="0" fontId="14" fillId="0" borderId="47" xfId="0" applyFont="1" applyFill="1" applyBorder="1" applyAlignment="1">
      <alignment horizontal="center"/>
    </xf>
    <xf numFmtId="0" fontId="14" fillId="0" borderId="48" xfId="0" applyFont="1" applyFill="1" applyBorder="1" applyAlignment="1">
      <alignment horizontal="center"/>
    </xf>
    <xf numFmtId="169" fontId="0" fillId="0" borderId="8" xfId="0" applyNumberFormat="1" applyFont="1" applyFill="1" applyBorder="1" applyProtection="1">
      <protection locked="0"/>
    </xf>
    <xf numFmtId="165" fontId="0" fillId="0" borderId="9" xfId="7" applyFont="1" applyFill="1" applyBorder="1" applyAlignment="1" applyProtection="1">
      <protection locked="0"/>
    </xf>
    <xf numFmtId="9" fontId="0" fillId="0" borderId="9" xfId="17" applyFont="1" applyFill="1" applyBorder="1" applyAlignment="1" applyProtection="1">
      <protection locked="0"/>
    </xf>
    <xf numFmtId="169" fontId="0" fillId="0" borderId="16" xfId="0" applyNumberFormat="1" applyFont="1" applyFill="1" applyBorder="1" applyProtection="1">
      <protection locked="0"/>
    </xf>
    <xf numFmtId="169" fontId="0" fillId="0" borderId="11" xfId="0" applyNumberFormat="1" applyFont="1" applyFill="1" applyBorder="1" applyProtection="1">
      <protection locked="0"/>
    </xf>
    <xf numFmtId="9" fontId="0" fillId="0" borderId="12" xfId="17" applyFont="1" applyFill="1" applyBorder="1" applyAlignment="1" applyProtection="1">
      <protection locked="0"/>
    </xf>
    <xf numFmtId="0" fontId="14" fillId="0" borderId="0" xfId="0" applyFont="1" applyFill="1" applyBorder="1" applyAlignment="1">
      <alignment horizontal="right"/>
    </xf>
    <xf numFmtId="165" fontId="14" fillId="0" borderId="0" xfId="7" applyFont="1" applyFill="1" applyBorder="1" applyAlignment="1" applyProtection="1">
      <alignment horizontal="center"/>
    </xf>
    <xf numFmtId="165" fontId="14" fillId="0" borderId="2" xfId="7" applyFont="1" applyFill="1" applyBorder="1" applyAlignment="1" applyProtection="1">
      <alignment horizontal="center"/>
      <protection locked="0"/>
    </xf>
    <xf numFmtId="165" fontId="14" fillId="0" borderId="0" xfId="7" applyFont="1" applyFill="1" applyBorder="1" applyAlignment="1" applyProtection="1"/>
    <xf numFmtId="9" fontId="0" fillId="0" borderId="0" xfId="17" applyFont="1" applyFill="1" applyBorder="1" applyAlignment="1" applyProtection="1"/>
    <xf numFmtId="169" fontId="0" fillId="0" borderId="16" xfId="0" applyNumberFormat="1" applyFont="1" applyFill="1" applyBorder="1" applyAlignment="1" applyProtection="1">
      <alignment horizontal="left"/>
      <protection locked="0"/>
    </xf>
    <xf numFmtId="165" fontId="14" fillId="0" borderId="12" xfId="7" applyFont="1" applyFill="1" applyBorder="1" applyAlignment="1" applyProtection="1"/>
    <xf numFmtId="9" fontId="14" fillId="0" borderId="12" xfId="17" applyFont="1" applyFill="1" applyBorder="1" applyAlignment="1" applyProtection="1"/>
    <xf numFmtId="165" fontId="14" fillId="0" borderId="13" xfId="7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18" fillId="0" borderId="20" xfId="0" applyFont="1" applyFill="1" applyBorder="1" applyAlignment="1" applyProtection="1">
      <alignment horizontal="left"/>
    </xf>
    <xf numFmtId="0" fontId="18" fillId="0" borderId="21" xfId="0" applyFont="1" applyFill="1" applyBorder="1" applyAlignment="1" applyProtection="1">
      <alignment horizontal="center"/>
    </xf>
    <xf numFmtId="0" fontId="18" fillId="0" borderId="22" xfId="0" applyFont="1" applyFill="1" applyBorder="1" applyAlignment="1" applyProtection="1">
      <alignment horizontal="center"/>
    </xf>
    <xf numFmtId="0" fontId="14" fillId="0" borderId="16" xfId="0" applyFont="1" applyFill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4" fillId="0" borderId="28" xfId="0" applyFont="1" applyFill="1" applyBorder="1" applyAlignment="1" applyProtection="1">
      <alignment horizontal="center"/>
    </xf>
    <xf numFmtId="0" fontId="14" fillId="0" borderId="13" xfId="0" applyFont="1" applyFill="1" applyBorder="1" applyAlignment="1" applyProtection="1">
      <alignment horizontal="center"/>
    </xf>
    <xf numFmtId="0" fontId="14" fillId="0" borderId="0" xfId="0" applyFont="1" applyFill="1" applyProtection="1"/>
    <xf numFmtId="0" fontId="0" fillId="0" borderId="0" xfId="0" applyFont="1" applyFill="1" applyAlignment="1" applyProtection="1">
      <alignment horizontal="left"/>
    </xf>
    <xf numFmtId="0" fontId="14" fillId="0" borderId="27" xfId="0" applyFont="1" applyFill="1" applyBorder="1" applyProtection="1"/>
    <xf numFmtId="0" fontId="14" fillId="0" borderId="0" xfId="0" applyFont="1" applyFill="1" applyAlignment="1" applyProtection="1">
      <alignment horizontal="center"/>
    </xf>
    <xf numFmtId="0" fontId="0" fillId="0" borderId="49" xfId="0" applyFill="1" applyBorder="1" applyProtection="1"/>
    <xf numFmtId="165" fontId="14" fillId="0" borderId="18" xfId="7" applyFont="1" applyFill="1" applyBorder="1" applyAlignment="1" applyProtection="1">
      <alignment horizontal="center"/>
    </xf>
    <xf numFmtId="0" fontId="14" fillId="0" borderId="16" xfId="0" applyFont="1" applyFill="1" applyBorder="1" applyProtection="1"/>
    <xf numFmtId="0" fontId="14" fillId="0" borderId="16" xfId="0" applyFont="1" applyFill="1" applyBorder="1" applyAlignment="1" applyProtection="1">
      <alignment horizontal="left"/>
    </xf>
    <xf numFmtId="0" fontId="14" fillId="0" borderId="11" xfId="0" applyFont="1" applyFill="1" applyBorder="1" applyProtection="1"/>
    <xf numFmtId="0" fontId="18" fillId="0" borderId="0" xfId="0" applyFont="1" applyFill="1" applyProtection="1"/>
    <xf numFmtId="0" fontId="18" fillId="0" borderId="31" xfId="0" applyFont="1" applyFill="1" applyBorder="1" applyAlignment="1" applyProtection="1">
      <alignment horizontal="left"/>
    </xf>
    <xf numFmtId="0" fontId="18" fillId="0" borderId="26" xfId="0" applyFont="1" applyFill="1" applyBorder="1" applyAlignment="1" applyProtection="1">
      <alignment horizontal="center"/>
    </xf>
    <xf numFmtId="0" fontId="18" fillId="0" borderId="32" xfId="0" applyFont="1" applyFill="1" applyBorder="1" applyAlignment="1" applyProtection="1">
      <alignment horizontal="center"/>
    </xf>
    <xf numFmtId="0" fontId="14" fillId="0" borderId="23" xfId="0" applyFont="1" applyFill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 wrapText="1"/>
    </xf>
    <xf numFmtId="0" fontId="14" fillId="0" borderId="33" xfId="0" applyFont="1" applyFill="1" applyBorder="1" applyProtection="1"/>
    <xf numFmtId="0" fontId="0" fillId="0" borderId="35" xfId="0" applyFont="1" applyFill="1" applyBorder="1" applyProtection="1"/>
    <xf numFmtId="0" fontId="0" fillId="0" borderId="35" xfId="0" applyFont="1" applyFill="1" applyBorder="1" applyAlignment="1" applyProtection="1">
      <alignment horizontal="left"/>
    </xf>
    <xf numFmtId="0" fontId="14" fillId="0" borderId="35" xfId="0" applyFont="1" applyFill="1" applyBorder="1" applyProtection="1"/>
    <xf numFmtId="0" fontId="14" fillId="0" borderId="35" xfId="0" applyFont="1" applyFill="1" applyBorder="1" applyAlignment="1" applyProtection="1">
      <alignment horizontal="left"/>
    </xf>
    <xf numFmtId="0" fontId="14" fillId="0" borderId="37" xfId="0" applyFont="1" applyFill="1" applyBorder="1" applyProtection="1"/>
    <xf numFmtId="0" fontId="0" fillId="0" borderId="0" xfId="0" applyProtection="1"/>
    <xf numFmtId="0" fontId="18" fillId="0" borderId="8" xfId="0" applyFont="1" applyFill="1" applyBorder="1" applyAlignment="1" applyProtection="1">
      <alignment horizontal="left"/>
    </xf>
    <xf numFmtId="0" fontId="18" fillId="0" borderId="9" xfId="0" applyFont="1" applyFill="1" applyBorder="1" applyAlignment="1" applyProtection="1">
      <alignment horizontal="center"/>
    </xf>
    <xf numFmtId="0" fontId="18" fillId="0" borderId="50" xfId="0" applyFont="1" applyFill="1" applyBorder="1" applyAlignment="1" applyProtection="1">
      <alignment horizontal="center"/>
    </xf>
    <xf numFmtId="0" fontId="18" fillId="0" borderId="10" xfId="0" applyFont="1" applyFill="1" applyBorder="1" applyAlignment="1" applyProtection="1">
      <alignment horizontal="center"/>
    </xf>
    <xf numFmtId="0" fontId="0" fillId="0" borderId="16" xfId="0" applyFill="1" applyBorder="1" applyProtection="1"/>
    <xf numFmtId="0" fontId="14" fillId="0" borderId="17" xfId="0" applyFont="1" applyFill="1" applyBorder="1" applyAlignment="1" applyProtection="1">
      <alignment horizontal="center"/>
    </xf>
    <xf numFmtId="0" fontId="14" fillId="0" borderId="30" xfId="0" applyFont="1" applyFill="1" applyBorder="1" applyAlignment="1" applyProtection="1">
      <alignment horizontal="center"/>
    </xf>
    <xf numFmtId="0" fontId="14" fillId="0" borderId="19" xfId="0" applyFont="1" applyFill="1" applyBorder="1" applyAlignment="1" applyProtection="1">
      <alignment horizontal="center"/>
    </xf>
    <xf numFmtId="168" fontId="0" fillId="0" borderId="30" xfId="6" applyFont="1" applyFill="1" applyBorder="1" applyAlignment="1" applyProtection="1">
      <alignment horizontal="center"/>
      <protection locked="0"/>
    </xf>
    <xf numFmtId="168" fontId="0" fillId="0" borderId="17" xfId="6" applyFont="1" applyFill="1" applyBorder="1" applyAlignment="1" applyProtection="1">
      <protection locked="0"/>
    </xf>
    <xf numFmtId="168" fontId="0" fillId="0" borderId="30" xfId="6" applyFont="1" applyFill="1" applyBorder="1" applyAlignment="1" applyProtection="1">
      <protection locked="0"/>
    </xf>
    <xf numFmtId="168" fontId="0" fillId="0" borderId="19" xfId="6" applyFont="1" applyFill="1" applyBorder="1" applyAlignment="1" applyProtection="1">
      <protection locked="0"/>
    </xf>
    <xf numFmtId="165" fontId="14" fillId="0" borderId="30" xfId="7" applyFont="1" applyFill="1" applyBorder="1" applyAlignment="1" applyProtection="1">
      <alignment horizontal="center"/>
      <protection locked="0"/>
    </xf>
    <xf numFmtId="165" fontId="0" fillId="0" borderId="28" xfId="7" applyFont="1" applyFill="1" applyBorder="1" applyAlignment="1" applyProtection="1">
      <protection locked="0"/>
    </xf>
    <xf numFmtId="0" fontId="0" fillId="0" borderId="23" xfId="0" applyFill="1" applyBorder="1" applyProtection="1"/>
    <xf numFmtId="0" fontId="14" fillId="0" borderId="24" xfId="0" applyFont="1" applyFill="1" applyBorder="1" applyAlignment="1" applyProtection="1">
      <alignment horizontal="center"/>
    </xf>
    <xf numFmtId="0" fontId="14" fillId="0" borderId="25" xfId="0" applyFont="1" applyFill="1" applyBorder="1" applyAlignment="1" applyProtection="1">
      <alignment horizontal="center"/>
    </xf>
    <xf numFmtId="0" fontId="14" fillId="0" borderId="8" xfId="0" applyFont="1" applyFill="1" applyBorder="1" applyProtection="1"/>
    <xf numFmtId="168" fontId="0" fillId="0" borderId="9" xfId="6" applyFont="1" applyFill="1" applyBorder="1" applyAlignment="1" applyProtection="1">
      <alignment horizontal="center"/>
      <protection locked="0"/>
    </xf>
    <xf numFmtId="168" fontId="0" fillId="0" borderId="10" xfId="6" applyFont="1" applyFill="1" applyBorder="1" applyAlignment="1" applyProtection="1">
      <alignment horizontal="center"/>
      <protection locked="0"/>
    </xf>
    <xf numFmtId="168" fontId="0" fillId="0" borderId="17" xfId="6" applyFont="1" applyFill="1" applyBorder="1" applyAlignment="1" applyProtection="1">
      <alignment horizontal="center"/>
    </xf>
    <xf numFmtId="168" fontId="0" fillId="0" borderId="19" xfId="6" applyFont="1" applyFill="1" applyBorder="1" applyAlignment="1" applyProtection="1">
      <alignment horizontal="center"/>
    </xf>
    <xf numFmtId="0" fontId="5" fillId="12" borderId="39" xfId="0" applyFont="1" applyFill="1" applyBorder="1" applyAlignment="1" applyProtection="1">
      <alignment horizontal="center"/>
    </xf>
    <xf numFmtId="0" fontId="14" fillId="0" borderId="28" xfId="0" applyFont="1" applyFill="1" applyBorder="1" applyAlignment="1" applyProtection="1">
      <alignment horizontal="center" wrapText="1"/>
    </xf>
    <xf numFmtId="0" fontId="14" fillId="0" borderId="13" xfId="0" applyFont="1" applyFill="1" applyBorder="1" applyAlignment="1" applyProtection="1">
      <alignment horizontal="center" wrapText="1"/>
    </xf>
    <xf numFmtId="0" fontId="14" fillId="0" borderId="33" xfId="0" applyFont="1" applyFill="1" applyBorder="1" applyAlignment="1" applyProtection="1">
      <alignment horizontal="center"/>
    </xf>
    <xf numFmtId="0" fontId="14" fillId="0" borderId="35" xfId="0" applyFont="1" applyFill="1" applyBorder="1" applyAlignment="1" applyProtection="1">
      <alignment horizontal="center"/>
    </xf>
    <xf numFmtId="0" fontId="14" fillId="0" borderId="37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right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65" fontId="0" fillId="0" borderId="0" xfId="0" applyNumberFormat="1" applyFill="1" applyBorder="1"/>
    <xf numFmtId="0" fontId="0" fillId="0" borderId="0" xfId="0" applyFill="1" applyBorder="1" applyAlignment="1" applyProtection="1">
      <alignment horizontal="center"/>
    </xf>
    <xf numFmtId="167" fontId="0" fillId="0" borderId="0" xfId="0" applyNumberFormat="1" applyFill="1" applyBorder="1" applyAlignment="1" applyProtection="1">
      <alignment horizontal="center"/>
    </xf>
    <xf numFmtId="167" fontId="0" fillId="0" borderId="0" xfId="0" applyNumberFormat="1" applyFill="1" applyAlignment="1" applyProtection="1">
      <alignment horizontal="center"/>
    </xf>
    <xf numFmtId="166" fontId="0" fillId="0" borderId="0" xfId="0" applyNumberFormat="1" applyFill="1" applyBorder="1" applyAlignment="1" applyProtection="1">
      <alignment horizontal="center"/>
    </xf>
    <xf numFmtId="165" fontId="1" fillId="0" borderId="0" xfId="0" applyNumberFormat="1" applyFont="1" applyFill="1" applyBorder="1"/>
    <xf numFmtId="0" fontId="19" fillId="0" borderId="0" xfId="0" applyFont="1" applyFill="1" applyProtection="1"/>
    <xf numFmtId="1" fontId="0" fillId="0" borderId="0" xfId="0" applyNumberFormat="1" applyFill="1" applyBorder="1" applyAlignment="1" applyProtection="1">
      <alignment horizontal="center"/>
    </xf>
    <xf numFmtId="166" fontId="0" fillId="0" borderId="0" xfId="0" applyNumberFormat="1" applyFill="1" applyAlignment="1" applyProtection="1">
      <alignment horizontal="center"/>
    </xf>
    <xf numFmtId="0" fontId="14" fillId="0" borderId="0" xfId="0" applyFont="1" applyFill="1" applyAlignment="1" applyProtection="1">
      <alignment horizontal="left"/>
    </xf>
    <xf numFmtId="0" fontId="0" fillId="0" borderId="0" xfId="0" applyFont="1" applyFill="1" applyBorder="1"/>
    <xf numFmtId="0" fontId="21" fillId="0" borderId="0" xfId="0" applyFont="1" applyBorder="1"/>
    <xf numFmtId="0" fontId="22" fillId="0" borderId="0" xfId="0" applyFont="1" applyBorder="1"/>
    <xf numFmtId="0" fontId="0" fillId="0" borderId="0" xfId="0" applyFont="1" applyBorder="1"/>
    <xf numFmtId="170" fontId="0" fillId="0" borderId="0" xfId="0" applyNumberFormat="1" applyBorder="1"/>
    <xf numFmtId="171" fontId="0" fillId="0" borderId="0" xfId="0" applyNumberFormat="1" applyBorder="1"/>
    <xf numFmtId="172" fontId="0" fillId="0" borderId="0" xfId="0" applyNumberFormat="1" applyBorder="1"/>
    <xf numFmtId="0" fontId="0" fillId="0" borderId="0" xfId="0" applyFont="1" applyBorder="1" applyAlignment="1">
      <alignment horizontal="left"/>
    </xf>
    <xf numFmtId="165" fontId="0" fillId="0" borderId="0" xfId="7" applyFont="1" applyBorder="1" applyAlignment="1" applyProtection="1">
      <protection locked="0"/>
    </xf>
    <xf numFmtId="0" fontId="23" fillId="0" borderId="0" xfId="14"/>
    <xf numFmtId="0" fontId="0" fillId="13" borderId="0" xfId="0" applyFill="1" applyBorder="1"/>
    <xf numFmtId="170" fontId="0" fillId="13" borderId="0" xfId="0" applyNumberFormat="1" applyFill="1" applyBorder="1"/>
    <xf numFmtId="0" fontId="0" fillId="0" borderId="0" xfId="0" applyFill="1" applyBorder="1"/>
    <xf numFmtId="173" fontId="0" fillId="13" borderId="0" xfId="0" applyNumberFormat="1" applyFill="1" applyBorder="1"/>
    <xf numFmtId="173" fontId="0" fillId="0" borderId="0" xfId="0" applyNumberFormat="1" applyBorder="1"/>
    <xf numFmtId="0" fontId="23" fillId="0" borderId="0" xfId="14" applyBorder="1"/>
    <xf numFmtId="171" fontId="0" fillId="13" borderId="0" xfId="0" applyNumberFormat="1" applyFill="1" applyBorder="1"/>
    <xf numFmtId="0" fontId="0" fillId="0" borderId="53" xfId="0" applyBorder="1" applyAlignment="1">
      <alignment horizontal="center"/>
    </xf>
    <xf numFmtId="0" fontId="0" fillId="0" borderId="53" xfId="0" applyBorder="1" applyAlignment="1">
      <alignment horizontal="center" wrapText="1"/>
    </xf>
    <xf numFmtId="176" fontId="24" fillId="0" borderId="53" xfId="24" applyNumberFormat="1" applyBorder="1"/>
    <xf numFmtId="0" fontId="0" fillId="0" borderId="0" xfId="0" applyAlignment="1">
      <alignment horizontal="center"/>
    </xf>
    <xf numFmtId="0" fontId="0" fillId="0" borderId="53" xfId="0" applyBorder="1"/>
    <xf numFmtId="3" fontId="0" fillId="0" borderId="53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14" borderId="0" xfId="0" applyFill="1"/>
    <xf numFmtId="170" fontId="0" fillId="0" borderId="0" xfId="0" applyNumberFormat="1" applyAlignment="1">
      <alignment horizontal="center"/>
    </xf>
    <xf numFmtId="174" fontId="0" fillId="0" borderId="0" xfId="0" applyNumberFormat="1"/>
    <xf numFmtId="0" fontId="26" fillId="0" borderId="0" xfId="27"/>
    <xf numFmtId="170" fontId="0" fillId="0" borderId="0" xfId="0" applyNumberFormat="1"/>
    <xf numFmtId="2" fontId="0" fillId="0" borderId="0" xfId="0" applyNumberFormat="1"/>
    <xf numFmtId="0" fontId="22" fillId="0" borderId="0" xfId="0" applyFont="1" applyAlignment="1">
      <alignment horizontal="center"/>
    </xf>
    <xf numFmtId="0" fontId="22" fillId="0" borderId="0" xfId="0" applyFont="1"/>
    <xf numFmtId="0" fontId="0" fillId="15" borderId="0" xfId="0" applyFill="1"/>
    <xf numFmtId="0" fontId="0" fillId="16" borderId="0" xfId="0" applyFill="1"/>
    <xf numFmtId="175" fontId="0" fillId="0" borderId="0" xfId="0" applyNumberFormat="1"/>
    <xf numFmtId="0" fontId="25" fillId="0" borderId="0" xfId="0" applyFont="1"/>
    <xf numFmtId="0" fontId="27" fillId="0" borderId="54" xfId="0" applyFont="1" applyBorder="1"/>
    <xf numFmtId="0" fontId="27" fillId="0" borderId="55" xfId="0" applyFont="1" applyBorder="1"/>
    <xf numFmtId="0" fontId="27" fillId="0" borderId="56" xfId="0" applyFont="1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170" fontId="0" fillId="0" borderId="60" xfId="0" applyNumberFormat="1" applyBorder="1"/>
    <xf numFmtId="0" fontId="0" fillId="0" borderId="51" xfId="0" applyBorder="1"/>
    <xf numFmtId="0" fontId="22" fillId="0" borderId="62" xfId="0" applyFont="1" applyBorder="1"/>
    <xf numFmtId="0" fontId="22" fillId="0" borderId="63" xfId="0" applyFont="1" applyBorder="1"/>
    <xf numFmtId="0" fontId="22" fillId="0" borderId="64" xfId="0" applyFont="1" applyBorder="1"/>
    <xf numFmtId="168" fontId="0" fillId="0" borderId="0" xfId="0" applyNumberFormat="1"/>
    <xf numFmtId="168" fontId="0" fillId="0" borderId="58" xfId="0" applyNumberFormat="1" applyBorder="1"/>
    <xf numFmtId="0" fontId="0" fillId="0" borderId="62" xfId="0" applyBorder="1"/>
    <xf numFmtId="0" fontId="0" fillId="0" borderId="64" xfId="0" applyBorder="1"/>
    <xf numFmtId="0" fontId="0" fillId="0" borderId="57" xfId="0" applyBorder="1" applyAlignment="1">
      <alignment horizontal="left"/>
    </xf>
    <xf numFmtId="175" fontId="0" fillId="0" borderId="59" xfId="0" applyNumberFormat="1" applyBorder="1"/>
    <xf numFmtId="0" fontId="0" fillId="13" borderId="53" xfId="0" applyFill="1" applyBorder="1"/>
    <xf numFmtId="0" fontId="0" fillId="13" borderId="0" xfId="0" applyFill="1"/>
    <xf numFmtId="0" fontId="0" fillId="13" borderId="53" xfId="0" applyFill="1" applyBorder="1" applyAlignment="1">
      <alignment horizontal="center"/>
    </xf>
    <xf numFmtId="0" fontId="0" fillId="13" borderId="0" xfId="0" applyFill="1" applyAlignment="1">
      <alignment horizontal="center"/>
    </xf>
    <xf numFmtId="168" fontId="0" fillId="17" borderId="0" xfId="0" applyNumberFormat="1" applyFill="1"/>
    <xf numFmtId="0" fontId="0" fillId="17" borderId="0" xfId="0" applyFill="1"/>
    <xf numFmtId="0" fontId="0" fillId="0" borderId="17" xfId="7" applyNumberFormat="1" applyFont="1" applyFill="1" applyBorder="1" applyAlignment="1" applyProtection="1">
      <protection locked="0"/>
    </xf>
    <xf numFmtId="165" fontId="0" fillId="0" borderId="65" xfId="25" applyFont="1" applyBorder="1" applyAlignment="1" applyProtection="1">
      <protection locked="0"/>
    </xf>
    <xf numFmtId="165" fontId="0" fillId="0" borderId="66" xfId="25" applyFont="1" applyBorder="1" applyAlignment="1" applyProtection="1">
      <protection locked="0"/>
    </xf>
    <xf numFmtId="166" fontId="0" fillId="0" borderId="65" xfId="0" applyNumberFormat="1" applyBorder="1"/>
    <xf numFmtId="166" fontId="0" fillId="0" borderId="66" xfId="0" applyNumberFormat="1" applyBorder="1"/>
    <xf numFmtId="166" fontId="22" fillId="0" borderId="65" xfId="0" applyNumberFormat="1" applyFont="1" applyBorder="1" applyAlignment="1">
      <alignment horizontal="center"/>
    </xf>
    <xf numFmtId="2" fontId="0" fillId="0" borderId="65" xfId="0" applyNumberFormat="1" applyBorder="1" applyAlignment="1">
      <alignment horizontal="center"/>
    </xf>
    <xf numFmtId="2" fontId="0" fillId="0" borderId="66" xfId="0" applyNumberFormat="1" applyBorder="1" applyAlignment="1">
      <alignment horizontal="center"/>
    </xf>
    <xf numFmtId="165" fontId="0" fillId="0" borderId="67" xfId="25" applyFont="1" applyBorder="1" applyAlignment="1" applyProtection="1">
      <protection locked="0"/>
    </xf>
    <xf numFmtId="0" fontId="0" fillId="0" borderId="0" xfId="0" applyFont="1"/>
    <xf numFmtId="0" fontId="22" fillId="0" borderId="54" xfId="0" applyFont="1" applyBorder="1"/>
    <xf numFmtId="0" fontId="22" fillId="0" borderId="55" xfId="0" applyFont="1" applyBorder="1"/>
    <xf numFmtId="0" fontId="22" fillId="0" borderId="56" xfId="0" applyFont="1" applyBorder="1"/>
    <xf numFmtId="0" fontId="0" fillId="0" borderId="57" xfId="0" applyFont="1" applyBorder="1"/>
    <xf numFmtId="3" fontId="28" fillId="0" borderId="0" xfId="0" applyNumberFormat="1" applyFont="1" applyBorder="1"/>
    <xf numFmtId="3" fontId="0" fillId="0" borderId="0" xfId="0" applyNumberFormat="1"/>
    <xf numFmtId="0" fontId="0" fillId="18" borderId="0" xfId="0" applyFill="1"/>
    <xf numFmtId="0" fontId="0" fillId="19" borderId="0" xfId="0" applyFill="1"/>
    <xf numFmtId="0" fontId="29" fillId="20" borderId="0" xfId="0" applyFont="1" applyFill="1" applyBorder="1"/>
    <xf numFmtId="0" fontId="0" fillId="0" borderId="68" xfId="0" applyFont="1" applyBorder="1"/>
    <xf numFmtId="0" fontId="0" fillId="0" borderId="69" xfId="0" applyBorder="1"/>
    <xf numFmtId="0" fontId="0" fillId="0" borderId="70" xfId="0" applyBorder="1"/>
    <xf numFmtId="0" fontId="0" fillId="0" borderId="71" xfId="0" applyBorder="1"/>
    <xf numFmtId="0" fontId="0" fillId="0" borderId="72" xfId="0" applyFont="1" applyBorder="1"/>
    <xf numFmtId="0" fontId="0" fillId="0" borderId="73" xfId="0" applyBorder="1"/>
    <xf numFmtId="0" fontId="0" fillId="0" borderId="74" xfId="0" applyBorder="1"/>
    <xf numFmtId="0" fontId="0" fillId="0" borderId="75" xfId="0" applyBorder="1"/>
    <xf numFmtId="0" fontId="0" fillId="0" borderId="72" xfId="0" applyBorder="1"/>
    <xf numFmtId="0" fontId="22" fillId="0" borderId="72" xfId="0" applyFont="1" applyBorder="1"/>
    <xf numFmtId="0" fontId="22" fillId="0" borderId="73" xfId="0" applyFont="1" applyBorder="1"/>
    <xf numFmtId="0" fontId="22" fillId="0" borderId="76" xfId="0" applyFont="1" applyBorder="1"/>
    <xf numFmtId="0" fontId="22" fillId="0" borderId="77" xfId="0" applyFont="1" applyBorder="1"/>
    <xf numFmtId="0" fontId="22" fillId="0" borderId="78" xfId="0" applyFont="1" applyBorder="1"/>
    <xf numFmtId="0" fontId="22" fillId="0" borderId="79" xfId="0" applyFont="1" applyBorder="1"/>
    <xf numFmtId="0" fontId="0" fillId="13" borderId="52" xfId="0" applyFill="1" applyBorder="1"/>
    <xf numFmtId="0" fontId="0" fillId="13" borderId="58" xfId="0" applyFill="1" applyBorder="1"/>
    <xf numFmtId="0" fontId="0" fillId="13" borderId="60" xfId="0" applyFill="1" applyBorder="1"/>
    <xf numFmtId="0" fontId="0" fillId="13" borderId="61" xfId="0" applyFill="1" applyBorder="1"/>
    <xf numFmtId="0" fontId="0" fillId="0" borderId="0" xfId="0" applyBorder="1" applyAlignment="1">
      <alignment horizontal="right"/>
    </xf>
    <xf numFmtId="168" fontId="20" fillId="13" borderId="0" xfId="6" applyFill="1"/>
    <xf numFmtId="0" fontId="0" fillId="19" borderId="58" xfId="0" applyFill="1" applyBorder="1"/>
    <xf numFmtId="166" fontId="0" fillId="0" borderId="19" xfId="0" applyNumberFormat="1" applyFill="1" applyBorder="1" applyAlignment="1" applyProtection="1">
      <alignment horizontal="center"/>
      <protection locked="0"/>
    </xf>
    <xf numFmtId="0" fontId="0" fillId="13" borderId="0" xfId="0" applyFont="1" applyFill="1" applyBorder="1"/>
    <xf numFmtId="0" fontId="0" fillId="13" borderId="0" xfId="0" applyFont="1" applyFill="1" applyBorder="1" applyAlignment="1">
      <alignment horizontal="left"/>
    </xf>
    <xf numFmtId="0" fontId="14" fillId="0" borderId="17" xfId="7" applyNumberFormat="1" applyFont="1" applyFill="1" applyBorder="1" applyAlignment="1" applyProtection="1">
      <alignment horizontal="center"/>
      <protection locked="0"/>
    </xf>
    <xf numFmtId="9" fontId="20" fillId="0" borderId="12" xfId="17" applyFill="1" applyBorder="1" applyAlignment="1" applyProtection="1">
      <alignment horizontal="center"/>
      <protection locked="0"/>
    </xf>
    <xf numFmtId="9" fontId="0" fillId="0" borderId="17" xfId="17" applyNumberFormat="1" applyFont="1" applyFill="1" applyBorder="1" applyAlignment="1" applyProtection="1">
      <alignment horizontal="center"/>
      <protection locked="0"/>
    </xf>
    <xf numFmtId="165" fontId="0" fillId="0" borderId="17" xfId="17" applyNumberFormat="1" applyFont="1" applyFill="1" applyBorder="1" applyAlignment="1" applyProtection="1">
      <protection locked="0"/>
    </xf>
    <xf numFmtId="165" fontId="0" fillId="0" borderId="65" xfId="25" applyFont="1" applyBorder="1" applyProtection="1">
      <protection locked="0"/>
    </xf>
    <xf numFmtId="0" fontId="0" fillId="0" borderId="80" xfId="0" applyBorder="1" applyAlignment="1">
      <alignment horizontal="center"/>
    </xf>
    <xf numFmtId="165" fontId="0" fillId="0" borderId="53" xfId="0" applyNumberFormat="1" applyBorder="1"/>
    <xf numFmtId="168" fontId="0" fillId="0" borderId="53" xfId="0" applyNumberFormat="1" applyBorder="1"/>
    <xf numFmtId="165" fontId="24" fillId="0" borderId="53" xfId="25" applyBorder="1"/>
    <xf numFmtId="177" fontId="0" fillId="0" borderId="53" xfId="0" applyNumberFormat="1" applyBorder="1"/>
    <xf numFmtId="165" fontId="30" fillId="0" borderId="53" xfId="0" applyNumberFormat="1" applyFont="1" applyBorder="1"/>
    <xf numFmtId="39" fontId="0" fillId="0" borderId="60" xfId="0" applyNumberFormat="1" applyBorder="1"/>
    <xf numFmtId="39" fontId="0" fillId="0" borderId="61" xfId="0" applyNumberFormat="1" applyBorder="1"/>
    <xf numFmtId="39" fontId="0" fillId="0" borderId="0" xfId="0" applyNumberFormat="1"/>
    <xf numFmtId="0" fontId="0" fillId="21" borderId="39" xfId="0" applyFill="1" applyBorder="1" applyAlignment="1" applyProtection="1">
      <alignment horizontal="center"/>
    </xf>
    <xf numFmtId="164" fontId="0" fillId="0" borderId="0" xfId="0" applyNumberFormat="1" applyFill="1"/>
    <xf numFmtId="2" fontId="0" fillId="0" borderId="2" xfId="0" applyNumberFormat="1" applyFill="1" applyBorder="1" applyProtection="1">
      <protection locked="0"/>
    </xf>
    <xf numFmtId="165" fontId="20" fillId="0" borderId="38" xfId="7" applyFont="1" applyFill="1" applyBorder="1" applyAlignment="1" applyProtection="1">
      <alignment horizontal="center"/>
      <protection locked="0"/>
    </xf>
    <xf numFmtId="10" fontId="20" fillId="0" borderId="24" xfId="17" applyNumberFormat="1" applyFill="1" applyBorder="1" applyAlignment="1" applyProtection="1">
      <alignment horizontal="center"/>
      <protection locked="0"/>
    </xf>
    <xf numFmtId="10" fontId="20" fillId="0" borderId="25" xfId="17" applyNumberFormat="1" applyFill="1" applyBorder="1" applyAlignment="1" applyProtection="1">
      <alignment horizontal="center"/>
      <protection locked="0"/>
    </xf>
    <xf numFmtId="10" fontId="20" fillId="0" borderId="12" xfId="17" applyNumberFormat="1" applyFill="1" applyBorder="1" applyAlignment="1" applyProtection="1">
      <alignment horizontal="center"/>
      <protection locked="0"/>
    </xf>
    <xf numFmtId="10" fontId="20" fillId="0" borderId="13" xfId="17" applyNumberFormat="1" applyFill="1" applyBorder="1" applyAlignment="1" applyProtection="1">
      <alignment horizontal="center"/>
      <protection locked="0"/>
    </xf>
    <xf numFmtId="165" fontId="20" fillId="0" borderId="19" xfId="7" applyFont="1" applyFill="1" applyBorder="1" applyAlignment="1" applyProtection="1">
      <alignment horizontal="center"/>
      <protection locked="0"/>
    </xf>
    <xf numFmtId="0" fontId="0" fillId="11" borderId="2" xfId="0" applyFill="1" applyBorder="1" applyAlignment="1" applyProtection="1">
      <alignment horizontal="center"/>
      <protection locked="0"/>
    </xf>
    <xf numFmtId="0" fontId="15" fillId="12" borderId="39" xfId="0" applyFont="1" applyFill="1" applyBorder="1" applyAlignment="1">
      <alignment horizontal="center"/>
    </xf>
    <xf numFmtId="0" fontId="2" fillId="12" borderId="39" xfId="0" applyFont="1" applyFill="1" applyBorder="1" applyAlignment="1">
      <alignment horizontal="left" vertical="center" wrapText="1"/>
    </xf>
    <xf numFmtId="0" fontId="16" fillId="12" borderId="39" xfId="0" applyFont="1" applyFill="1" applyBorder="1" applyAlignment="1">
      <alignment horizontal="left" vertical="center" wrapText="1"/>
    </xf>
    <xf numFmtId="0" fontId="16" fillId="12" borderId="39" xfId="0" applyFont="1" applyFill="1" applyBorder="1" applyAlignment="1">
      <alignment horizontal="left" vertical="center"/>
    </xf>
    <xf numFmtId="0" fontId="5" fillId="12" borderId="39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0" fillId="0" borderId="53" xfId="0" applyBorder="1" applyAlignment="1">
      <alignment horizontal="center"/>
    </xf>
    <xf numFmtId="0" fontId="16" fillId="12" borderId="39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0" fontId="16" fillId="12" borderId="39" xfId="0" applyFont="1" applyFill="1" applyBorder="1" applyAlignment="1" applyProtection="1">
      <alignment horizontal="center"/>
    </xf>
  </cellXfs>
  <cellStyles count="28">
    <cellStyle name="Accent 1 1" xfId="1"/>
    <cellStyle name="Accent 2 1" xfId="2"/>
    <cellStyle name="Accent 3 1" xfId="3"/>
    <cellStyle name="Accent 4" xfId="4"/>
    <cellStyle name="Bad 1" xfId="5"/>
    <cellStyle name="Comma" xfId="6" builtinId="3"/>
    <cellStyle name="Comma 2" xfId="24"/>
    <cellStyle name="Currency" xfId="7" builtinId="4"/>
    <cellStyle name="Currency 2" xfId="25"/>
    <cellStyle name="Error 1" xfId="8"/>
    <cellStyle name="Footnote 1" xfId="9"/>
    <cellStyle name="Good 1" xfId="10"/>
    <cellStyle name="Heading 1 1" xfId="11"/>
    <cellStyle name="Heading 2 1" xfId="12"/>
    <cellStyle name="Heading 3" xfId="13" builtinId="18" customBuiltin="1"/>
    <cellStyle name="Hyperlink" xfId="14" builtinId="8"/>
    <cellStyle name="Hyperlink 2" xfId="27"/>
    <cellStyle name="Neutral 1" xfId="15"/>
    <cellStyle name="Normal" xfId="0" builtinId="0"/>
    <cellStyle name="Normal 2" xfId="23"/>
    <cellStyle name="Note 1" xfId="16"/>
    <cellStyle name="Percent" xfId="17" builtinId="5"/>
    <cellStyle name="Percent 2" xfId="26"/>
    <cellStyle name="Sin título1" xfId="18"/>
    <cellStyle name="Sin título2" xfId="19"/>
    <cellStyle name="Status 1" xfId="20"/>
    <cellStyle name="Text 1" xfId="21"/>
    <cellStyle name="Warning 1" xfId="22"/>
  </cellStyles>
  <dxfs count="42"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D1C24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420E"/>
      <rgbColor rgb="00666699"/>
      <rgbColor rgb="00969696"/>
      <rgbColor rgb="00003366"/>
      <rgbColor rgb="0062A73B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'E-Costos'!$E$141</c:f>
              <c:strCache>
                <c:ptCount val="1"/>
                <c:pt idx="0">
                  <c:v>I x 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'E-Costos'!$A$142:$A$143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40257</c:v>
                </c:pt>
              </c:numCache>
            </c:numRef>
          </c:cat>
          <c:val>
            <c:numRef>
              <c:f>'E-Costos'!$E$142:$E$143</c:f>
              <c:numCache>
                <c:formatCode>_(\$* #,##0_);_(\$* \(#,##0\);_(\$* \-??_);_(@_)</c:formatCode>
                <c:ptCount val="2"/>
                <c:pt idx="0" formatCode="General">
                  <c:v>0</c:v>
                </c:pt>
                <c:pt idx="1">
                  <c:v>58372650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8F-4EE2-B893-B928BBC04F08}"/>
            </c:ext>
          </c:extLst>
        </c:ser>
        <c:ser>
          <c:idx val="1"/>
          <c:order val="1"/>
          <c:tx>
            <c:strRef>
              <c:f>'E-Costos'!$D$141</c:f>
              <c:strCache>
                <c:ptCount val="1"/>
                <c:pt idx="0">
                  <c:v>CT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'E-Costos'!$A$142:$A$143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40257</c:v>
                </c:pt>
              </c:numCache>
            </c:numRef>
          </c:cat>
          <c:val>
            <c:numRef>
              <c:f>'E-Costos'!$D$142:$D$143</c:f>
              <c:numCache>
                <c:formatCode>_(\$* #,##0.00_);_(\$* \(#,##0.00\);_(\$* \-??_);_(@_)</c:formatCode>
                <c:ptCount val="2"/>
                <c:pt idx="0">
                  <c:v>13862946.294049524</c:v>
                </c:pt>
                <c:pt idx="1">
                  <c:v>54211085.921730302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8F-4EE2-B893-B928BBC04F08}"/>
            </c:ext>
          </c:extLst>
        </c:ser>
        <c:ser>
          <c:idx val="2"/>
          <c:order val="2"/>
          <c:tx>
            <c:strRef>
              <c:f>'E-Costos'!$C$141</c:f>
              <c:strCache>
                <c:ptCount val="1"/>
                <c:pt idx="0">
                  <c:v>CF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'E-Costos'!$A$142:$A$143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40257</c:v>
                </c:pt>
              </c:numCache>
            </c:numRef>
          </c:cat>
          <c:val>
            <c:numRef>
              <c:f>'E-Costos'!$C$142:$C$143</c:f>
              <c:numCache>
                <c:formatCode>_(\$* #,##0.00_);_(\$* \(#,##0.00\);_(\$* \-??_);_(@_)</c:formatCode>
                <c:ptCount val="2"/>
                <c:pt idx="0">
                  <c:v>13862946.294049524</c:v>
                </c:pt>
                <c:pt idx="1">
                  <c:v>13862946.294049524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8F-4EE2-B893-B928BBC04F08}"/>
            </c:ext>
          </c:extLst>
        </c:ser>
        <c:ser>
          <c:idx val="3"/>
          <c:order val="3"/>
          <c:tx>
            <c:strRef>
              <c:f>'E-Costos'!$B$141</c:f>
              <c:strCache>
                <c:ptCount val="1"/>
                <c:pt idx="0">
                  <c:v>CV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'E-Costos'!$A$142:$A$143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40257</c:v>
                </c:pt>
              </c:numCache>
            </c:numRef>
          </c:cat>
          <c:val>
            <c:numRef>
              <c:f>'E-Costos'!$B$142:$B$143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40348139.627680779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8F-4EE2-B893-B928BBC04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5583744"/>
        <c:axId val="465584072"/>
      </c:lineChart>
      <c:catAx>
        <c:axId val="46558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5584072"/>
        <c:crosses val="autoZero"/>
        <c:auto val="1"/>
        <c:lblAlgn val="ctr"/>
        <c:lblOffset val="100"/>
        <c:noMultiLvlLbl val="0"/>
      </c:catAx>
      <c:valAx>
        <c:axId val="465584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583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'E-Costos'!$L$141</c:f>
              <c:strCache>
                <c:ptCount val="1"/>
                <c:pt idx="0">
                  <c:v>I x 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'E-Costos'!$H$142:$H$143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45000</c:v>
                </c:pt>
              </c:numCache>
            </c:numRef>
          </c:cat>
          <c:val>
            <c:numRef>
              <c:f>'E-Costos'!$L$142:$L$143</c:f>
              <c:numCache>
                <c:formatCode>_(\$* #,##0_);_(\$* \(#,##0\);_(\$* \-??_);_(@_)</c:formatCode>
                <c:ptCount val="2"/>
                <c:pt idx="0" formatCode="General">
                  <c:v>0</c:v>
                </c:pt>
                <c:pt idx="1">
                  <c:v>65250000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F1-4025-A4DE-847D92E4DAFB}"/>
            </c:ext>
          </c:extLst>
        </c:ser>
        <c:ser>
          <c:idx val="1"/>
          <c:order val="1"/>
          <c:tx>
            <c:strRef>
              <c:f>'E-Costos'!$K$141</c:f>
              <c:strCache>
                <c:ptCount val="1"/>
                <c:pt idx="0">
                  <c:v>CT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'E-Costos'!$H$142:$H$143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45000</c:v>
                </c:pt>
              </c:numCache>
            </c:numRef>
          </c:cat>
          <c:val>
            <c:numRef>
              <c:f>'E-Costos'!$K$142:$K$143</c:f>
              <c:numCache>
                <c:formatCode>_(\$* #,##0.00_);_(\$* \(#,##0.00\);_(\$* \-??_);_(@_)</c:formatCode>
                <c:ptCount val="2"/>
                <c:pt idx="0">
                  <c:v>14271426.89134874</c:v>
                </c:pt>
                <c:pt idx="1">
                  <c:v>56646995.399189055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F1-4025-A4DE-847D92E4DAFB}"/>
            </c:ext>
          </c:extLst>
        </c:ser>
        <c:ser>
          <c:idx val="2"/>
          <c:order val="2"/>
          <c:tx>
            <c:strRef>
              <c:f>'E-Costos'!$J$141</c:f>
              <c:strCache>
                <c:ptCount val="1"/>
                <c:pt idx="0">
                  <c:v>CF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'E-Costos'!$H$142:$H$143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45000</c:v>
                </c:pt>
              </c:numCache>
            </c:numRef>
          </c:cat>
          <c:val>
            <c:numRef>
              <c:f>'E-Costos'!$J$142:$J$143</c:f>
              <c:numCache>
                <c:formatCode>_(\$* #,##0.00_);_(\$* \(#,##0.00\);_(\$* \-??_);_(@_)</c:formatCode>
                <c:ptCount val="2"/>
                <c:pt idx="0">
                  <c:v>14271426.89134874</c:v>
                </c:pt>
                <c:pt idx="1">
                  <c:v>14271426.89134874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F1-4025-A4DE-847D92E4DAFB}"/>
            </c:ext>
          </c:extLst>
        </c:ser>
        <c:ser>
          <c:idx val="3"/>
          <c:order val="3"/>
          <c:tx>
            <c:strRef>
              <c:f>'E-Costos'!$I$141</c:f>
              <c:strCache>
                <c:ptCount val="1"/>
                <c:pt idx="0">
                  <c:v>CV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'E-Costos'!$H$142:$H$143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45000</c:v>
                </c:pt>
              </c:numCache>
            </c:numRef>
          </c:cat>
          <c:val>
            <c:numRef>
              <c:f>'E-Costos'!$I$142:$I$143</c:f>
              <c:numCache>
                <c:formatCode>_(\$* #,##0.00_);_(\$* \(#,##0.00\);_(\$* \-??_);_(@_)</c:formatCode>
                <c:ptCount val="2"/>
                <c:pt idx="0" formatCode="_(* #,##0.00_);_(* \(#,##0.00\);_(* \-??_);_(@_)">
                  <c:v>0</c:v>
                </c:pt>
                <c:pt idx="1">
                  <c:v>42375568.507840313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F1-4025-A4DE-847D92E4D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5583744"/>
        <c:axId val="465584072"/>
      </c:lineChart>
      <c:catAx>
        <c:axId val="46558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5584072"/>
        <c:crosses val="autoZero"/>
        <c:auto val="1"/>
        <c:lblAlgn val="ctr"/>
        <c:lblOffset val="100"/>
        <c:noMultiLvlLbl val="0"/>
      </c:catAx>
      <c:valAx>
        <c:axId val="465584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583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931333</xdr:colOff>
      <xdr:row>146</xdr:row>
      <xdr:rowOff>4233</xdr:rowOff>
    </xdr:from>
    <xdr:to>
      <xdr:col>3</xdr:col>
      <xdr:colOff>656166</xdr:colOff>
      <xdr:row>163</xdr:row>
      <xdr:rowOff>48683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1100667</xdr:colOff>
      <xdr:row>144</xdr:row>
      <xdr:rowOff>52917</xdr:rowOff>
    </xdr:from>
    <xdr:to>
      <xdr:col>11</xdr:col>
      <xdr:colOff>497417</xdr:colOff>
      <xdr:row>161</xdr:row>
      <xdr:rowOff>97367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0</xdr:row>
      <xdr:rowOff>0</xdr:rowOff>
    </xdr:from>
    <xdr:to>
      <xdr:col>22</xdr:col>
      <xdr:colOff>428985</xdr:colOff>
      <xdr:row>0</xdr:row>
      <xdr:rowOff>25200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 flipV="1">
          <a:off x="4000320" y="24943120"/>
          <a:ext cx="20802960" cy="25200"/>
        </a:xfrm>
        <a:prstGeom prst="line">
          <a:avLst/>
        </a:prstGeom>
        <a:ln w="9360"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es-AR"/>
        </a:p>
      </xdr:txBody>
    </xdr:sp>
    <xdr:clientData/>
  </xdr:twoCellAnchor>
  <xdr:twoCellAnchor editAs="oneCell">
    <xdr:from>
      <xdr:col>7</xdr:col>
      <xdr:colOff>22860</xdr:colOff>
      <xdr:row>0</xdr:row>
      <xdr:rowOff>0</xdr:rowOff>
    </xdr:from>
    <xdr:to>
      <xdr:col>24</xdr:col>
      <xdr:colOff>213345</xdr:colOff>
      <xdr:row>0</xdr:row>
      <xdr:rowOff>25560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 flipV="1">
          <a:off x="4292280" y="28316827"/>
          <a:ext cx="20815920" cy="25560"/>
        </a:xfrm>
        <a:prstGeom prst="line">
          <a:avLst/>
        </a:prstGeom>
        <a:ln w="9360"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es-AR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199185</xdr:colOff>
      <xdr:row>1</xdr:row>
      <xdr:rowOff>10200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0" y="31195133"/>
          <a:ext cx="30738240" cy="177840"/>
        </a:xfrm>
        <a:prstGeom prst="line">
          <a:avLst/>
        </a:prstGeom>
        <a:ln w="9360"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es-AR"/>
        </a:p>
      </xdr:txBody>
    </xdr:sp>
    <xdr:clientData/>
  </xdr:twoCellAnchor>
  <xdr:twoCellAnchor editAs="oneCell">
    <xdr:from>
      <xdr:col>13</xdr:col>
      <xdr:colOff>45720</xdr:colOff>
      <xdr:row>0</xdr:row>
      <xdr:rowOff>0</xdr:rowOff>
    </xdr:from>
    <xdr:to>
      <xdr:col>19</xdr:col>
      <xdr:colOff>279645</xdr:colOff>
      <xdr:row>0</xdr:row>
      <xdr:rowOff>12600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 flipV="1">
          <a:off x="21327453" y="22089293"/>
          <a:ext cx="6107040" cy="12600"/>
        </a:xfrm>
        <a:prstGeom prst="line">
          <a:avLst/>
        </a:prstGeom>
        <a:ln w="9360"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es-A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articulo.mercadolibre.com.ar/MLA-660671089-estanteria-metalica-90x30x200-crefuerzo-30kg-cestante-_JM?quantity=1&amp;variation=42422133464" TargetMode="External"/><Relationship Id="rId3" Type="http://schemas.openxmlformats.org/officeDocument/2006/relationships/hyperlink" Target="https://www.casavargascordoba.com.ar/index.php/typical-tw5-820.html" TargetMode="External"/><Relationship Id="rId7" Type="http://schemas.openxmlformats.org/officeDocument/2006/relationships/hyperlink" Target="https://articulo.mercadolibre.com.ar/MLA-781929692-jabon-liquido-para-manos-lux-rosas-francesas-250ml-_JM?quantity=1" TargetMode="External"/><Relationship Id="rId2" Type="http://schemas.openxmlformats.org/officeDocument/2006/relationships/hyperlink" Target="https://www.argenprop.com/terreno-en-venta-en-lomas-del-mirador--6555923" TargetMode="External"/><Relationship Id="rId1" Type="http://schemas.openxmlformats.org/officeDocument/2006/relationships/hyperlink" Target="https://martinbonari.com/costo-de-la-construccion-en-2019/" TargetMode="External"/><Relationship Id="rId6" Type="http://schemas.openxmlformats.org/officeDocument/2006/relationships/hyperlink" Target="https://articulo.mercadolibre.com.ar/MLA-620390390-toallas-intercaladas-papel-2500un-manos-bano-dispenser-_JM?quantity=1" TargetMode="External"/><Relationship Id="rId5" Type="http://schemas.openxmlformats.org/officeDocument/2006/relationships/hyperlink" Target="https://articulo.mercadolibre.com.ar/MLA-679747409-guantes-de-cuero-descarne-reforzados-puno-corto-_JM" TargetMode="External"/><Relationship Id="rId4" Type="http://schemas.openxmlformats.org/officeDocument/2006/relationships/hyperlink" Target="https://articulo.mercadolibre.com.ar/MLA-774284064-servicio-de-flete-y-embalaje-al-transporte-en-caba-_JM?quantity=1" TargetMode="External"/><Relationship Id="rId9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tabSelected="1" zoomScale="90" zoomScaleNormal="90" workbookViewId="0"/>
  </sheetViews>
  <sheetFormatPr defaultColWidth="11" defaultRowHeight="12.75" x14ac:dyDescent="0.2"/>
  <cols>
    <col min="1" max="1" width="42.140625" customWidth="1"/>
    <col min="2" max="3" width="11" customWidth="1"/>
    <col min="4" max="4" width="17.28515625" customWidth="1"/>
    <col min="5" max="5" width="11" customWidth="1"/>
    <col min="6" max="6" width="6.85546875" customWidth="1"/>
    <col min="7" max="12" width="11" customWidth="1"/>
    <col min="13" max="13" width="17" customWidth="1"/>
  </cols>
  <sheetData>
    <row r="1" spans="1:13" x14ac:dyDescent="0.2">
      <c r="A1" s="1" t="s">
        <v>0</v>
      </c>
      <c r="E1" s="2">
        <v>6</v>
      </c>
    </row>
    <row r="2" spans="1:13" ht="15" x14ac:dyDescent="0.25">
      <c r="G2" s="380" t="s">
        <v>1</v>
      </c>
      <c r="H2" s="380"/>
      <c r="I2" s="380"/>
      <c r="J2" s="380"/>
      <c r="K2" s="380"/>
      <c r="L2" s="380"/>
      <c r="M2" s="380"/>
    </row>
    <row r="3" spans="1:13" ht="14.65" customHeight="1" x14ac:dyDescent="0.2">
      <c r="A3" s="3" t="s">
        <v>2</v>
      </c>
      <c r="B3" s="4">
        <v>0.21</v>
      </c>
      <c r="G3" s="381" t="s">
        <v>3</v>
      </c>
      <c r="H3" s="381"/>
      <c r="I3" s="381"/>
      <c r="J3" s="381"/>
      <c r="K3" s="381"/>
      <c r="L3" s="381"/>
      <c r="M3" s="381"/>
    </row>
    <row r="4" spans="1:13" x14ac:dyDescent="0.2">
      <c r="A4" s="3" t="s">
        <v>4</v>
      </c>
      <c r="B4" s="4">
        <v>0.35</v>
      </c>
      <c r="G4" s="381"/>
      <c r="H4" s="381"/>
      <c r="I4" s="381"/>
      <c r="J4" s="381"/>
      <c r="K4" s="381"/>
      <c r="L4" s="381"/>
      <c r="M4" s="381"/>
    </row>
    <row r="5" spans="1:13" x14ac:dyDescent="0.2">
      <c r="A5" s="3" t="s">
        <v>5</v>
      </c>
      <c r="B5" s="5">
        <v>0.05</v>
      </c>
      <c r="C5" t="s">
        <v>6</v>
      </c>
      <c r="G5" s="381"/>
      <c r="H5" s="381"/>
      <c r="I5" s="381"/>
      <c r="J5" s="381"/>
      <c r="K5" s="381"/>
      <c r="L5" s="381"/>
      <c r="M5" s="381"/>
    </row>
    <row r="6" spans="1:13" x14ac:dyDescent="0.2">
      <c r="A6" s="3" t="s">
        <v>7</v>
      </c>
      <c r="B6" s="5">
        <v>0.08</v>
      </c>
      <c r="G6" s="381"/>
      <c r="H6" s="381"/>
      <c r="I6" s="381"/>
      <c r="J6" s="381"/>
      <c r="K6" s="381"/>
      <c r="L6" s="381"/>
      <c r="M6" s="381"/>
    </row>
    <row r="7" spans="1:13" x14ac:dyDescent="0.2">
      <c r="G7" s="381"/>
      <c r="H7" s="381"/>
      <c r="I7" s="381"/>
      <c r="J7" s="381"/>
      <c r="K7" s="381"/>
      <c r="L7" s="381"/>
      <c r="M7" s="381"/>
    </row>
    <row r="8" spans="1:13" ht="14.65" customHeight="1" x14ac:dyDescent="0.2">
      <c r="A8" s="3" t="s">
        <v>8</v>
      </c>
      <c r="B8" t="s">
        <v>9</v>
      </c>
      <c r="G8" s="382" t="s">
        <v>10</v>
      </c>
      <c r="H8" s="382"/>
      <c r="I8" s="382"/>
      <c r="J8" s="382"/>
      <c r="K8" s="382"/>
      <c r="L8" s="382"/>
      <c r="M8" s="382"/>
    </row>
    <row r="9" spans="1:13" x14ac:dyDescent="0.2">
      <c r="A9" s="6" t="s">
        <v>11</v>
      </c>
      <c r="B9" s="7">
        <v>30</v>
      </c>
      <c r="C9" t="s">
        <v>12</v>
      </c>
      <c r="G9" s="382"/>
      <c r="H9" s="382"/>
      <c r="I9" s="382"/>
      <c r="J9" s="382"/>
      <c r="K9" s="382"/>
      <c r="L9" s="382"/>
      <c r="M9" s="382"/>
    </row>
    <row r="10" spans="1:13" x14ac:dyDescent="0.2">
      <c r="A10" s="6" t="s">
        <v>13</v>
      </c>
      <c r="B10" s="7">
        <v>10</v>
      </c>
      <c r="C10" t="s">
        <v>12</v>
      </c>
      <c r="G10" s="383" t="s">
        <v>14</v>
      </c>
      <c r="H10" s="383"/>
      <c r="I10" s="383"/>
      <c r="J10" s="383"/>
      <c r="K10" s="383"/>
      <c r="L10" s="383"/>
      <c r="M10" s="383"/>
    </row>
    <row r="11" spans="1:13" ht="14.65" customHeight="1" x14ac:dyDescent="0.2">
      <c r="A11" s="6" t="s">
        <v>15</v>
      </c>
      <c r="B11" s="7">
        <v>10</v>
      </c>
      <c r="C11" t="s">
        <v>12</v>
      </c>
      <c r="G11" s="384" t="s">
        <v>16</v>
      </c>
      <c r="H11" s="384"/>
      <c r="I11" s="384"/>
      <c r="J11" s="384"/>
      <c r="K11" s="384"/>
      <c r="L11" s="384"/>
      <c r="M11" s="384"/>
    </row>
    <row r="12" spans="1:13" x14ac:dyDescent="0.2">
      <c r="A12" s="6" t="s">
        <v>17</v>
      </c>
      <c r="B12" s="7">
        <v>5</v>
      </c>
      <c r="C12" t="s">
        <v>12</v>
      </c>
      <c r="G12" s="384"/>
      <c r="H12" s="384"/>
      <c r="I12" s="384"/>
      <c r="J12" s="384"/>
      <c r="K12" s="384"/>
      <c r="L12" s="384"/>
      <c r="M12" s="384"/>
    </row>
    <row r="13" spans="1:13" ht="14.65" customHeight="1" x14ac:dyDescent="0.2">
      <c r="A13" s="6" t="s">
        <v>18</v>
      </c>
      <c r="B13" s="7">
        <v>5</v>
      </c>
      <c r="C13" t="s">
        <v>12</v>
      </c>
      <c r="G13" s="384" t="s">
        <v>19</v>
      </c>
      <c r="H13" s="384"/>
      <c r="I13" s="384"/>
      <c r="J13" s="384"/>
      <c r="K13" s="384"/>
      <c r="L13" s="384"/>
      <c r="M13" s="384"/>
    </row>
    <row r="14" spans="1:13" x14ac:dyDescent="0.2">
      <c r="A14" s="6" t="s">
        <v>20</v>
      </c>
      <c r="B14" s="7">
        <v>3</v>
      </c>
      <c r="C14" t="s">
        <v>12</v>
      </c>
      <c r="G14" s="384"/>
      <c r="H14" s="384"/>
      <c r="I14" s="384"/>
      <c r="J14" s="384"/>
      <c r="K14" s="384"/>
      <c r="L14" s="384"/>
      <c r="M14" s="384"/>
    </row>
    <row r="15" spans="1:13" x14ac:dyDescent="0.2">
      <c r="A15" s="6" t="s">
        <v>21</v>
      </c>
      <c r="B15" s="7">
        <v>5</v>
      </c>
      <c r="C15" t="s">
        <v>12</v>
      </c>
    </row>
    <row r="17" spans="1:7" x14ac:dyDescent="0.2">
      <c r="A17" s="3" t="s">
        <v>22</v>
      </c>
      <c r="B17" s="8"/>
      <c r="C17" s="9"/>
      <c r="D17" s="9"/>
      <c r="E17" s="9"/>
      <c r="F17" s="9"/>
      <c r="G17" s="10"/>
    </row>
    <row r="19" spans="1:7" x14ac:dyDescent="0.2">
      <c r="A19" s="3" t="s">
        <v>23</v>
      </c>
      <c r="B19" s="11">
        <v>45000</v>
      </c>
      <c r="C19" t="s">
        <v>24</v>
      </c>
    </row>
    <row r="20" spans="1:7" x14ac:dyDescent="0.2">
      <c r="A20" s="3" t="s">
        <v>25</v>
      </c>
      <c r="B20" s="11">
        <v>1450</v>
      </c>
      <c r="C20" t="s">
        <v>26</v>
      </c>
    </row>
    <row r="22" spans="1:7" x14ac:dyDescent="0.2">
      <c r="A22" s="3" t="s">
        <v>27</v>
      </c>
    </row>
    <row r="23" spans="1:7" x14ac:dyDescent="0.2">
      <c r="A23" s="3" t="s">
        <v>28</v>
      </c>
      <c r="B23" s="11">
        <v>11</v>
      </c>
      <c r="C23" t="s">
        <v>29</v>
      </c>
    </row>
    <row r="24" spans="1:7" x14ac:dyDescent="0.2">
      <c r="A24" s="3" t="s">
        <v>30</v>
      </c>
      <c r="B24" s="11">
        <v>4</v>
      </c>
      <c r="C24" t="s">
        <v>29</v>
      </c>
    </row>
    <row r="25" spans="1:7" x14ac:dyDescent="0.2">
      <c r="A25" s="3" t="s">
        <v>31</v>
      </c>
      <c r="B25" s="11">
        <v>1</v>
      </c>
      <c r="C25" t="s">
        <v>29</v>
      </c>
    </row>
    <row r="27" spans="1:7" x14ac:dyDescent="0.2">
      <c r="A27" s="3" t="s">
        <v>32</v>
      </c>
      <c r="B27" s="11">
        <v>300</v>
      </c>
      <c r="C27" t="s">
        <v>33</v>
      </c>
    </row>
    <row r="28" spans="1:7" x14ac:dyDescent="0.2">
      <c r="A28" s="3" t="s">
        <v>34</v>
      </c>
      <c r="B28" s="11">
        <v>12</v>
      </c>
      <c r="C28" t="s">
        <v>35</v>
      </c>
    </row>
    <row r="29" spans="1:7" x14ac:dyDescent="0.2">
      <c r="A29" s="3" t="s">
        <v>36</v>
      </c>
      <c r="B29" s="11">
        <v>6</v>
      </c>
      <c r="C29" t="s">
        <v>35</v>
      </c>
    </row>
    <row r="32" spans="1:7" x14ac:dyDescent="0.2">
      <c r="A32" s="3" t="s">
        <v>37</v>
      </c>
      <c r="B32" s="11">
        <v>59</v>
      </c>
      <c r="C32" t="s">
        <v>38</v>
      </c>
      <c r="D32" s="11">
        <v>1</v>
      </c>
      <c r="E32" t="s">
        <v>39</v>
      </c>
    </row>
    <row r="33" spans="1:7" x14ac:dyDescent="0.2">
      <c r="A33" s="12"/>
    </row>
    <row r="34" spans="1:7" x14ac:dyDescent="0.2">
      <c r="A34" s="12"/>
    </row>
    <row r="35" spans="1:7" x14ac:dyDescent="0.2">
      <c r="A35" s="3" t="s">
        <v>40</v>
      </c>
      <c r="B35" s="13"/>
      <c r="C35" t="s">
        <v>41</v>
      </c>
      <c r="G35" s="14" t="s">
        <v>42</v>
      </c>
    </row>
    <row r="36" spans="1:7" x14ac:dyDescent="0.2">
      <c r="A36" s="3" t="s">
        <v>43</v>
      </c>
      <c r="B36" s="379"/>
      <c r="C36" s="379"/>
      <c r="D36" s="379"/>
    </row>
    <row r="37" spans="1:7" x14ac:dyDescent="0.2">
      <c r="A37" s="3" t="s">
        <v>44</v>
      </c>
      <c r="B37" s="15"/>
    </row>
    <row r="38" spans="1:7" x14ac:dyDescent="0.2">
      <c r="A38" s="3"/>
    </row>
    <row r="39" spans="1:7" x14ac:dyDescent="0.2">
      <c r="A39" s="3" t="s">
        <v>45</v>
      </c>
      <c r="B39" s="11"/>
    </row>
    <row r="40" spans="1:7" x14ac:dyDescent="0.2">
      <c r="A40" s="3" t="s">
        <v>46</v>
      </c>
      <c r="B40" s="11"/>
    </row>
    <row r="41" spans="1:7" x14ac:dyDescent="0.2">
      <c r="A41" s="3" t="s">
        <v>47</v>
      </c>
      <c r="B41" s="11"/>
      <c r="C41" t="s">
        <v>41</v>
      </c>
    </row>
    <row r="59" spans="15:15" x14ac:dyDescent="0.2">
      <c r="O59" s="14" t="s">
        <v>48</v>
      </c>
    </row>
  </sheetData>
  <sheetProtection selectLockedCells="1" selectUnlockedCells="1"/>
  <mergeCells count="7">
    <mergeCell ref="B36:D36"/>
    <mergeCell ref="G2:M2"/>
    <mergeCell ref="G3:M7"/>
    <mergeCell ref="G8:M9"/>
    <mergeCell ref="G10:M10"/>
    <mergeCell ref="G11:M12"/>
    <mergeCell ref="G13:M14"/>
  </mergeCells>
  <pageMargins left="0.75" right="0.75" top="0.7" bottom="1" header="0.51180555555555551" footer="0.51180555555555551"/>
  <pageSetup paperSize="9" firstPageNumber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zoomScale="90" zoomScaleNormal="90" workbookViewId="0"/>
  </sheetViews>
  <sheetFormatPr defaultColWidth="11.28515625" defaultRowHeight="12.75" x14ac:dyDescent="0.2"/>
  <cols>
    <col min="1" max="1" width="7.85546875" style="16" customWidth="1"/>
    <col min="2" max="2" width="15.7109375" style="16" bestFit="1" customWidth="1"/>
    <col min="3" max="3" width="31.28515625" style="16" bestFit="1" customWidth="1"/>
    <col min="4" max="6" width="14.7109375" style="16" customWidth="1"/>
    <col min="7" max="7" width="15.7109375" style="16" bestFit="1" customWidth="1"/>
    <col min="8" max="11" width="14.7109375" style="16" customWidth="1"/>
    <col min="12" max="13" width="15.7109375" style="16" bestFit="1" customWidth="1"/>
    <col min="14" max="14" width="17.28515625" style="16" customWidth="1"/>
    <col min="15" max="16384" width="11.28515625" style="16"/>
  </cols>
  <sheetData>
    <row r="1" spans="1:13" x14ac:dyDescent="0.2">
      <c r="A1" s="1" t="s">
        <v>0</v>
      </c>
      <c r="B1"/>
      <c r="C1"/>
      <c r="D1"/>
      <c r="G1" s="16">
        <f>InfoInicial!E1</f>
        <v>6</v>
      </c>
      <c r="H1" s="2"/>
    </row>
    <row r="2" spans="1:13" ht="15.75" x14ac:dyDescent="0.25">
      <c r="A2" s="117" t="s">
        <v>237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ht="38.25" x14ac:dyDescent="0.2">
      <c r="A3" s="121" t="s">
        <v>238</v>
      </c>
      <c r="B3" s="110" t="s">
        <v>239</v>
      </c>
      <c r="C3" s="110" t="s">
        <v>240</v>
      </c>
      <c r="D3" s="110" t="s">
        <v>241</v>
      </c>
      <c r="E3" s="110" t="s">
        <v>5</v>
      </c>
      <c r="F3" s="110" t="s">
        <v>242</v>
      </c>
      <c r="G3" s="110" t="s">
        <v>243</v>
      </c>
      <c r="H3" s="110" t="s">
        <v>244</v>
      </c>
      <c r="I3" s="110" t="s">
        <v>102</v>
      </c>
      <c r="J3" s="110" t="s">
        <v>245</v>
      </c>
      <c r="K3" s="110" t="s">
        <v>246</v>
      </c>
      <c r="L3" s="131" t="s">
        <v>247</v>
      </c>
      <c r="M3" s="132" t="s">
        <v>248</v>
      </c>
    </row>
    <row r="4" spans="1:13" x14ac:dyDescent="0.2">
      <c r="A4" s="133">
        <v>0</v>
      </c>
      <c r="B4" s="134">
        <f>'E-Cal Inv.'!B8+'E-Cal Inv.'!C8</f>
        <v>35734705.804799996</v>
      </c>
      <c r="C4" s="59">
        <f>'E-Cal Inv.'!B18+'E-Cal Inv.'!C18</f>
        <v>7935437.3585734405</v>
      </c>
      <c r="D4" s="59">
        <f>'E-IVA '!B26</f>
        <v>9170730.0643084217</v>
      </c>
      <c r="E4" s="59">
        <v>0</v>
      </c>
      <c r="F4" s="59">
        <v>0</v>
      </c>
      <c r="G4" s="59">
        <f>SUM(B4:F4)</f>
        <v>52840873.22768186</v>
      </c>
      <c r="H4" s="59">
        <v>0</v>
      </c>
      <c r="I4" s="59">
        <v>0</v>
      </c>
      <c r="J4" s="59">
        <v>0</v>
      </c>
      <c r="K4" s="59">
        <v>0</v>
      </c>
      <c r="L4" s="135">
        <f>K4-G4</f>
        <v>-52840873.22768186</v>
      </c>
      <c r="M4" s="60">
        <f>L4</f>
        <v>-52840873.22768186</v>
      </c>
    </row>
    <row r="5" spans="1:13" x14ac:dyDescent="0.2">
      <c r="A5" s="136">
        <v>1</v>
      </c>
      <c r="B5" s="125">
        <f>'E-Cal Inv.'!D8</f>
        <v>162000</v>
      </c>
      <c r="C5" s="61">
        <f>'E-Cal Inv.'!D18</f>
        <v>1705307.9198216801</v>
      </c>
      <c r="D5" s="61">
        <f>'E-IVA '!C26</f>
        <v>392134.66316255281</v>
      </c>
      <c r="E5" s="61">
        <f>'E-Costos'!B117</f>
        <v>329728.47670704464</v>
      </c>
      <c r="F5" s="61">
        <f>(H5-E5)*InfoInicial!$B$4</f>
        <v>2192694.3701018463</v>
      </c>
      <c r="G5" s="59">
        <f t="shared" ref="G5:G9" si="0">SUM(B5:F5)</f>
        <v>4781865.4297931232</v>
      </c>
      <c r="H5" s="61">
        <f>'E-Costos'!B116</f>
        <v>6594569.5341408923</v>
      </c>
      <c r="I5" s="61">
        <f>'E-Inv AF y Am'!$D$56</f>
        <v>2581989.7049599998</v>
      </c>
      <c r="J5" s="61">
        <f>'E-IVA '!C28</f>
        <v>5456620.7573300954</v>
      </c>
      <c r="K5" s="61">
        <f>SUM(H5:J5)</f>
        <v>14633179.996430987</v>
      </c>
      <c r="L5" s="135">
        <f t="shared" ref="L5:L9" si="1">K5-G5</f>
        <v>9851314.5666378643</v>
      </c>
      <c r="M5" s="62">
        <f>L5+M4</f>
        <v>-42989558.661043994</v>
      </c>
    </row>
    <row r="6" spans="1:13" x14ac:dyDescent="0.2">
      <c r="A6" s="136">
        <v>2</v>
      </c>
      <c r="B6" s="125">
        <f>'E-Cal Inv.'!E8</f>
        <v>0</v>
      </c>
      <c r="C6" s="61">
        <f>'E-Cal Inv.'!E18</f>
        <v>27529.959756400087</v>
      </c>
      <c r="D6" s="61">
        <f>'E-IVA '!D26</f>
        <v>5781.2915488440176</v>
      </c>
      <c r="E6" s="61">
        <f>'E-Costos'!C117</f>
        <v>460893.67685974878</v>
      </c>
      <c r="F6" s="61">
        <f>(H6-E6)*InfoInicial!$B$4</f>
        <v>3064942.9511173288</v>
      </c>
      <c r="G6" s="59">
        <f t="shared" si="0"/>
        <v>3559147.8792823218</v>
      </c>
      <c r="H6" s="61">
        <f>'E-Costos'!C116</f>
        <v>9217873.5371949747</v>
      </c>
      <c r="I6" s="61">
        <f>'E-Inv AF y Am'!$D$56</f>
        <v>2581989.7049599998</v>
      </c>
      <c r="J6" s="61">
        <f>'E-IVA '!D28</f>
        <v>4112025.2616897239</v>
      </c>
      <c r="K6" s="61">
        <f t="shared" ref="K6:K9" si="2">SUM(H6:J6)</f>
        <v>15911888.503844699</v>
      </c>
      <c r="L6" s="135">
        <f t="shared" si="1"/>
        <v>12352740.624562377</v>
      </c>
      <c r="M6" s="62">
        <f t="shared" ref="M6:M9" si="3">L6+M5</f>
        <v>-30636818.036481619</v>
      </c>
    </row>
    <row r="7" spans="1:13" x14ac:dyDescent="0.2">
      <c r="A7" s="136">
        <v>3</v>
      </c>
      <c r="B7" s="125">
        <f>'E-Cal Inv.'!F8</f>
        <v>0</v>
      </c>
      <c r="C7" s="61">
        <f>'E-Cal Inv.'!F18</f>
        <v>0</v>
      </c>
      <c r="D7" s="61">
        <f>'E-IVA '!E26</f>
        <v>0</v>
      </c>
      <c r="E7" s="61">
        <f>'E-Costos'!D117</f>
        <v>461375.7156175666</v>
      </c>
      <c r="F7" s="61">
        <f>(H7-E7)*InfoInicial!$B$4</f>
        <v>3068148.5088568171</v>
      </c>
      <c r="G7" s="59">
        <f t="shared" si="0"/>
        <v>3529524.2244743835</v>
      </c>
      <c r="H7" s="61">
        <f>'E-Costos'!D116</f>
        <v>9227514.3123513311</v>
      </c>
      <c r="I7" s="61">
        <f>'E-Inv AF y Am'!$D$56</f>
        <v>2581989.7049599998</v>
      </c>
      <c r="J7" s="61">
        <f>'E-IVA '!E28</f>
        <v>0</v>
      </c>
      <c r="K7" s="61">
        <f t="shared" si="2"/>
        <v>11809504.017311331</v>
      </c>
      <c r="L7" s="135">
        <f t="shared" si="1"/>
        <v>8279979.7928369474</v>
      </c>
      <c r="M7" s="62">
        <f t="shared" si="3"/>
        <v>-22356838.24364467</v>
      </c>
    </row>
    <row r="8" spans="1:13" x14ac:dyDescent="0.2">
      <c r="A8" s="136">
        <v>4</v>
      </c>
      <c r="B8" s="125">
        <f>'E-Cal Inv.'!F8</f>
        <v>0</v>
      </c>
      <c r="C8" s="61">
        <f>'E-Cal Inv.'!G18</f>
        <v>1029.4516480000457</v>
      </c>
      <c r="D8" s="61">
        <f>'E-IVA '!F26</f>
        <v>216.18484608000958</v>
      </c>
      <c r="E8" s="61">
        <f>'E-Costos'!E117</f>
        <v>461273.79990441469</v>
      </c>
      <c r="F8" s="61">
        <f>(H8-E8)*InfoInicial!$B$4</f>
        <v>3067470.769364357</v>
      </c>
      <c r="G8" s="59">
        <f t="shared" si="0"/>
        <v>3529990.205762852</v>
      </c>
      <c r="H8" s="61">
        <f>'E-Costos'!E116</f>
        <v>9225475.9980882928</v>
      </c>
      <c r="I8" s="61">
        <f>'E-Inv AF y Am'!E56</f>
        <v>2581989.7049599998</v>
      </c>
      <c r="J8" s="61">
        <f>'E-IVA '!F28</f>
        <v>216.18484608000958</v>
      </c>
      <c r="K8" s="61">
        <f t="shared" si="2"/>
        <v>11807681.887894373</v>
      </c>
      <c r="L8" s="135">
        <f t="shared" si="1"/>
        <v>8277691.6821315214</v>
      </c>
      <c r="M8" s="62">
        <f t="shared" si="3"/>
        <v>-14079146.561513148</v>
      </c>
    </row>
    <row r="9" spans="1:13" x14ac:dyDescent="0.2">
      <c r="A9" s="136">
        <v>5</v>
      </c>
      <c r="B9" s="125">
        <f>-'E-Inv AF y Am'!G56</f>
        <v>-22986757.280000001</v>
      </c>
      <c r="C9" s="61">
        <f>-'E-Cal Inv.'!I18</f>
        <v>-9669304.6897995211</v>
      </c>
      <c r="D9" s="61">
        <f>'E-IVA '!G26</f>
        <v>0</v>
      </c>
      <c r="E9" s="61">
        <f>'E-Costos'!F117</f>
        <v>461272.7704527665</v>
      </c>
      <c r="F9" s="61">
        <f>(H9-E9)*InfoInicial!$B$4</f>
        <v>3067463.9235108974</v>
      </c>
      <c r="G9" s="59">
        <f t="shared" si="0"/>
        <v>-29127325.275835857</v>
      </c>
      <c r="H9" s="61">
        <f>'E-Costos'!F116</f>
        <v>9225455.4090553299</v>
      </c>
      <c r="I9" s="61">
        <f>'E-Inv AF y Am'!E56</f>
        <v>2581989.7049599998</v>
      </c>
      <c r="J9" s="61">
        <f>'E-IVA '!G28</f>
        <v>0</v>
      </c>
      <c r="K9" s="61">
        <f t="shared" si="2"/>
        <v>11807445.11401533</v>
      </c>
      <c r="L9" s="135">
        <f t="shared" si="1"/>
        <v>40934770.389851183</v>
      </c>
      <c r="M9" s="62">
        <f t="shared" si="3"/>
        <v>26855623.828338034</v>
      </c>
    </row>
    <row r="10" spans="1:13" x14ac:dyDescent="0.2">
      <c r="A10" s="136"/>
      <c r="B10" s="127"/>
      <c r="C10" s="85"/>
      <c r="D10" s="85"/>
      <c r="E10" s="85"/>
      <c r="F10" s="85"/>
      <c r="G10" s="85"/>
      <c r="H10" s="85"/>
      <c r="I10" s="85"/>
      <c r="J10" s="85"/>
      <c r="K10" s="85"/>
      <c r="L10" s="115"/>
      <c r="M10" s="86"/>
    </row>
    <row r="11" spans="1:13" x14ac:dyDescent="0.2">
      <c r="A11" s="137" t="s">
        <v>249</v>
      </c>
      <c r="B11" s="130">
        <f>SUM(B4:B9)</f>
        <v>12909948.524799995</v>
      </c>
      <c r="C11" s="130">
        <f t="shared" ref="C11:L11" si="4">SUM(C4:C9)</f>
        <v>0</v>
      </c>
      <c r="D11" s="130">
        <f t="shared" si="4"/>
        <v>9568862.2038659006</v>
      </c>
      <c r="E11" s="130">
        <f t="shared" si="4"/>
        <v>2174544.439541541</v>
      </c>
      <c r="F11" s="130">
        <f t="shared" si="4"/>
        <v>14460720.522951247</v>
      </c>
      <c r="G11" s="130">
        <f t="shared" si="4"/>
        <v>39114075.691158682</v>
      </c>
      <c r="H11" s="130">
        <f t="shared" si="4"/>
        <v>43490888.790830821</v>
      </c>
      <c r="I11" s="373">
        <f t="shared" si="4"/>
        <v>12909948.524799999</v>
      </c>
      <c r="J11" s="130">
        <f t="shared" si="4"/>
        <v>9568862.2038659006</v>
      </c>
      <c r="K11" s="130">
        <f t="shared" si="4"/>
        <v>65969699.519496724</v>
      </c>
      <c r="L11" s="130">
        <f t="shared" si="4"/>
        <v>26855623.828338034</v>
      </c>
      <c r="M11" s="130"/>
    </row>
    <row r="13" spans="1:13" x14ac:dyDescent="0.2">
      <c r="C13" s="138" t="s">
        <v>250</v>
      </c>
      <c r="D13" s="139">
        <f>M9</f>
        <v>26855623.828338034</v>
      </c>
      <c r="I13" s="371"/>
      <c r="J13" s="371"/>
    </row>
    <row r="14" spans="1:13" x14ac:dyDescent="0.2">
      <c r="A14" s="73"/>
      <c r="C14" s="138" t="s">
        <v>251</v>
      </c>
      <c r="D14" s="372">
        <f>4+-M8/L9</f>
        <v>4.3439410170724626</v>
      </c>
      <c r="E14" s="16" t="s">
        <v>252</v>
      </c>
    </row>
    <row r="15" spans="1:13" x14ac:dyDescent="0.2">
      <c r="C15" s="138" t="s">
        <v>253</v>
      </c>
      <c r="D15" s="141">
        <f>IRR(L4:L9)</f>
        <v>0.12112756292793248</v>
      </c>
      <c r="J15" s="371"/>
    </row>
    <row r="16" spans="1:13" x14ac:dyDescent="0.2">
      <c r="L16" s="388" t="s">
        <v>254</v>
      </c>
      <c r="M16" s="388"/>
    </row>
    <row r="17" spans="10:13" x14ac:dyDescent="0.2">
      <c r="J17" s="142"/>
      <c r="L17" s="388" t="s">
        <v>255</v>
      </c>
      <c r="M17" s="388"/>
    </row>
    <row r="18" spans="10:13" x14ac:dyDescent="0.2">
      <c r="L18" s="143" t="s">
        <v>102</v>
      </c>
      <c r="M18" s="144" t="str">
        <f>IF(B11=I11,"OK","MAL")</f>
        <v>OK</v>
      </c>
    </row>
    <row r="19" spans="10:13" x14ac:dyDescent="0.2">
      <c r="L19" s="143" t="s">
        <v>256</v>
      </c>
      <c r="M19" s="370" t="str">
        <f>IF(D11=J11,"OK","MAL")</f>
        <v>OK</v>
      </c>
    </row>
    <row r="20" spans="10:13" x14ac:dyDescent="0.2">
      <c r="L20" s="143" t="s">
        <v>257</v>
      </c>
      <c r="M20" s="144" t="str">
        <f>IF(C11=0,"OK","MAL")</f>
        <v>OK</v>
      </c>
    </row>
    <row r="21" spans="10:13" x14ac:dyDescent="0.2">
      <c r="L21" s="143" t="s">
        <v>258</v>
      </c>
      <c r="M21" s="144" t="str">
        <f>IF((H11-F11-E11)=L11,IF(L11=M9,"OK","MAL"),"MAL")</f>
        <v>OK</v>
      </c>
    </row>
  </sheetData>
  <sheetProtection selectLockedCells="1" selectUnlockedCells="1"/>
  <mergeCells count="2">
    <mergeCell ref="L16:M16"/>
    <mergeCell ref="L17:M17"/>
  </mergeCells>
  <conditionalFormatting sqref="M18">
    <cfRule type="cellIs" dxfId="41" priority="1" stopIfTrue="1" operator="equal">
      <formula>"OK"</formula>
    </cfRule>
    <cfRule type="cellIs" dxfId="40" priority="2" stopIfTrue="1" operator="equal">
      <formula>"MAL"</formula>
    </cfRule>
  </conditionalFormatting>
  <conditionalFormatting sqref="M19">
    <cfRule type="cellIs" dxfId="39" priority="3" stopIfTrue="1" operator="equal">
      <formula>"OK"</formula>
    </cfRule>
    <cfRule type="cellIs" dxfId="38" priority="4" stopIfTrue="1" operator="equal">
      <formula>"MAL"</formula>
    </cfRule>
  </conditionalFormatting>
  <conditionalFormatting sqref="M20">
    <cfRule type="cellIs" dxfId="37" priority="5" stopIfTrue="1" operator="equal">
      <formula>"OK"</formula>
    </cfRule>
    <cfRule type="cellIs" dxfId="36" priority="6" stopIfTrue="1" operator="equal">
      <formula>"MAL"</formula>
    </cfRule>
  </conditionalFormatting>
  <conditionalFormatting sqref="M21">
    <cfRule type="cellIs" dxfId="35" priority="7" stopIfTrue="1" operator="equal">
      <formula>"OK"</formula>
    </cfRule>
    <cfRule type="cellIs" dxfId="34" priority="8" stopIfTrue="1" operator="equal">
      <formula>"MAL"</formula>
    </cfRule>
  </conditionalFormatting>
  <conditionalFormatting sqref="J17">
    <cfRule type="cellIs" dxfId="33" priority="9" stopIfTrue="1" operator="equal">
      <formula>"OK"</formula>
    </cfRule>
    <cfRule type="cellIs" dxfId="32" priority="10" stopIfTrue="1" operator="equal">
      <formula>"MAL"</formula>
    </cfRule>
  </conditionalFormatting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zoomScale="90" zoomScaleNormal="90" workbookViewId="0">
      <selection activeCell="F1" sqref="F1"/>
    </sheetView>
  </sheetViews>
  <sheetFormatPr defaultColWidth="11.28515625" defaultRowHeight="12.75" x14ac:dyDescent="0.2"/>
  <cols>
    <col min="1" max="1" width="27.140625" style="16" customWidth="1"/>
    <col min="2" max="9" width="15" style="16" customWidth="1"/>
    <col min="10" max="16384" width="11.28515625" style="16"/>
  </cols>
  <sheetData>
    <row r="1" spans="1:9" x14ac:dyDescent="0.2">
      <c r="A1" s="1" t="s">
        <v>0</v>
      </c>
      <c r="B1"/>
      <c r="C1"/>
      <c r="D1"/>
      <c r="F1" s="145">
        <f>InfoInicial!E1</f>
        <v>6</v>
      </c>
      <c r="G1" s="2"/>
    </row>
    <row r="2" spans="1:9" ht="15.75" x14ac:dyDescent="0.25">
      <c r="A2" s="146" t="s">
        <v>259</v>
      </c>
      <c r="B2" s="90"/>
      <c r="C2" s="90"/>
      <c r="D2" s="90"/>
      <c r="E2" s="90"/>
      <c r="F2" s="90"/>
      <c r="G2" s="91"/>
    </row>
    <row r="3" spans="1:9" x14ac:dyDescent="0.2">
      <c r="A3" s="56" t="s">
        <v>94</v>
      </c>
      <c r="B3" s="389" t="s">
        <v>260</v>
      </c>
      <c r="C3" s="389"/>
      <c r="D3" s="389" t="s">
        <v>261</v>
      </c>
      <c r="E3" s="389"/>
      <c r="F3" s="390" t="s">
        <v>262</v>
      </c>
      <c r="G3" s="390"/>
    </row>
    <row r="4" spans="1:9" x14ac:dyDescent="0.2">
      <c r="A4" s="56" t="s">
        <v>80</v>
      </c>
      <c r="B4" s="147" t="s">
        <v>263</v>
      </c>
      <c r="C4" s="147" t="s">
        <v>264</v>
      </c>
      <c r="D4" s="147" t="s">
        <v>263</v>
      </c>
      <c r="E4" s="147" t="s">
        <v>264</v>
      </c>
      <c r="F4" s="147" t="s">
        <v>263</v>
      </c>
      <c r="G4" s="148" t="s">
        <v>264</v>
      </c>
    </row>
    <row r="5" spans="1:9" x14ac:dyDescent="0.2">
      <c r="A5" s="29" t="s">
        <v>265</v>
      </c>
      <c r="B5" s="61"/>
      <c r="C5" s="87"/>
      <c r="D5" s="61"/>
      <c r="E5" s="87"/>
      <c r="F5" s="61"/>
      <c r="G5" s="88"/>
    </row>
    <row r="6" spans="1:9" x14ac:dyDescent="0.2">
      <c r="A6" s="27" t="s">
        <v>266</v>
      </c>
      <c r="B6" s="61"/>
      <c r="C6" s="87"/>
      <c r="D6" s="61"/>
      <c r="E6" s="87"/>
      <c r="F6" s="61"/>
      <c r="G6" s="88"/>
    </row>
    <row r="7" spans="1:9" x14ac:dyDescent="0.2">
      <c r="A7" s="27" t="s">
        <v>267</v>
      </c>
      <c r="B7" s="61"/>
      <c r="C7" s="87"/>
      <c r="D7" s="61"/>
      <c r="E7" s="98"/>
      <c r="F7" s="61"/>
      <c r="G7" s="88"/>
    </row>
    <row r="8" spans="1:9" x14ac:dyDescent="0.2">
      <c r="A8" s="35" t="s">
        <v>198</v>
      </c>
      <c r="B8" s="149"/>
      <c r="C8" s="150"/>
      <c r="D8" s="149"/>
      <c r="E8" s="150"/>
      <c r="F8" s="149"/>
      <c r="G8" s="151"/>
    </row>
    <row r="9" spans="1:9" x14ac:dyDescent="0.2">
      <c r="A9" s="73"/>
      <c r="B9" s="52"/>
      <c r="C9" s="152"/>
      <c r="D9" s="52"/>
      <c r="E9" s="52"/>
      <c r="F9" s="52"/>
      <c r="G9" s="52"/>
    </row>
    <row r="10" spans="1:9" ht="15.75" x14ac:dyDescent="0.25">
      <c r="A10" s="153" t="s">
        <v>268</v>
      </c>
      <c r="B10" s="154"/>
      <c r="C10" s="154"/>
      <c r="D10" s="154"/>
      <c r="E10" s="154"/>
      <c r="F10" s="154"/>
      <c r="G10" s="154"/>
      <c r="H10" s="154"/>
      <c r="I10" s="155"/>
    </row>
    <row r="11" spans="1:9" x14ac:dyDescent="0.2">
      <c r="A11" s="156" t="s">
        <v>269</v>
      </c>
      <c r="B11" s="157" t="s">
        <v>270</v>
      </c>
      <c r="C11" s="157" t="s">
        <v>271</v>
      </c>
      <c r="D11" s="157" t="s">
        <v>272</v>
      </c>
      <c r="E11" s="157" t="s">
        <v>271</v>
      </c>
      <c r="F11" s="157" t="s">
        <v>273</v>
      </c>
      <c r="G11" s="157" t="s">
        <v>272</v>
      </c>
      <c r="H11" s="157"/>
      <c r="I11" s="158" t="s">
        <v>274</v>
      </c>
    </row>
    <row r="12" spans="1:9" x14ac:dyDescent="0.2">
      <c r="A12" s="159"/>
      <c r="B12" s="160"/>
      <c r="C12" s="160" t="s">
        <v>275</v>
      </c>
      <c r="D12" s="160" t="s">
        <v>275</v>
      </c>
      <c r="E12" s="160" t="s">
        <v>41</v>
      </c>
      <c r="F12" s="160" t="s">
        <v>276</v>
      </c>
      <c r="G12" s="160" t="s">
        <v>41</v>
      </c>
      <c r="H12" s="160" t="s">
        <v>277</v>
      </c>
      <c r="I12" s="161" t="s">
        <v>278</v>
      </c>
    </row>
    <row r="13" spans="1:9" x14ac:dyDescent="0.2">
      <c r="A13" s="162"/>
      <c r="B13" s="83"/>
      <c r="C13" s="83"/>
      <c r="D13" s="83"/>
      <c r="E13" s="83"/>
      <c r="F13" s="163"/>
      <c r="G13" s="83"/>
      <c r="H13" s="164"/>
      <c r="I13" s="84"/>
    </row>
    <row r="14" spans="1:9" x14ac:dyDescent="0.2">
      <c r="A14" s="165"/>
      <c r="B14" s="61"/>
      <c r="C14" s="61"/>
      <c r="D14" s="61"/>
      <c r="E14" s="61"/>
      <c r="F14" s="28"/>
      <c r="G14" s="61"/>
      <c r="H14" s="98"/>
      <c r="I14" s="62"/>
    </row>
    <row r="15" spans="1:9" x14ac:dyDescent="0.2">
      <c r="A15" s="165"/>
      <c r="B15" s="61"/>
      <c r="C15" s="61"/>
      <c r="D15" s="61"/>
      <c r="E15" s="61"/>
      <c r="F15" s="28"/>
      <c r="G15" s="61"/>
      <c r="H15" s="98"/>
      <c r="I15" s="62"/>
    </row>
    <row r="16" spans="1:9" x14ac:dyDescent="0.2">
      <c r="A16" s="165"/>
      <c r="B16" s="61"/>
      <c r="C16" s="61"/>
      <c r="D16" s="61"/>
      <c r="E16" s="61"/>
      <c r="F16" s="28"/>
      <c r="G16" s="61"/>
      <c r="H16" s="98"/>
      <c r="I16" s="62"/>
    </row>
    <row r="17" spans="1:9" x14ac:dyDescent="0.2">
      <c r="A17" s="165"/>
      <c r="B17" s="61"/>
      <c r="C17" s="61"/>
      <c r="D17" s="61"/>
      <c r="E17" s="61"/>
      <c r="F17" s="28"/>
      <c r="G17" s="61"/>
      <c r="H17" s="98"/>
      <c r="I17" s="62"/>
    </row>
    <row r="18" spans="1:9" x14ac:dyDescent="0.2">
      <c r="A18" s="165"/>
      <c r="B18" s="61"/>
      <c r="C18" s="61"/>
      <c r="D18" s="61"/>
      <c r="E18" s="61"/>
      <c r="F18" s="28"/>
      <c r="G18" s="61"/>
      <c r="H18" s="98"/>
      <c r="I18" s="62"/>
    </row>
    <row r="19" spans="1:9" x14ac:dyDescent="0.2">
      <c r="A19" s="165"/>
      <c r="B19" s="61"/>
      <c r="C19" s="61"/>
      <c r="D19" s="61"/>
      <c r="E19" s="61"/>
      <c r="F19" s="28"/>
      <c r="G19" s="61"/>
      <c r="H19" s="98"/>
      <c r="I19" s="62"/>
    </row>
    <row r="20" spans="1:9" x14ac:dyDescent="0.2">
      <c r="A20" s="166"/>
      <c r="B20" s="68"/>
      <c r="C20" s="68"/>
      <c r="D20" s="77"/>
      <c r="E20" s="68"/>
      <c r="F20" s="32"/>
      <c r="G20" s="77"/>
      <c r="H20" s="167"/>
      <c r="I20" s="78"/>
    </row>
    <row r="21" spans="1:9" x14ac:dyDescent="0.2">
      <c r="A21" s="168" t="s">
        <v>279</v>
      </c>
      <c r="B21" s="169"/>
      <c r="C21" s="169"/>
      <c r="D21" s="170"/>
      <c r="E21" s="169"/>
      <c r="F21" s="171"/>
      <c r="G21" s="170"/>
      <c r="H21" s="172"/>
      <c r="I21" s="170"/>
    </row>
    <row r="22" spans="1:9" x14ac:dyDescent="0.2">
      <c r="A22" s="162"/>
      <c r="B22" s="83"/>
      <c r="C22" s="83"/>
      <c r="D22" s="59"/>
      <c r="E22" s="83"/>
      <c r="F22" s="163"/>
      <c r="G22" s="59"/>
      <c r="H22" s="164"/>
      <c r="I22" s="60"/>
    </row>
    <row r="23" spans="1:9" x14ac:dyDescent="0.2">
      <c r="A23" s="165"/>
      <c r="B23" s="61"/>
      <c r="C23" s="61"/>
      <c r="D23" s="61"/>
      <c r="E23" s="61"/>
      <c r="F23" s="28"/>
      <c r="G23" s="61"/>
      <c r="H23" s="98"/>
      <c r="I23" s="62"/>
    </row>
    <row r="24" spans="1:9" x14ac:dyDescent="0.2">
      <c r="A24" s="173"/>
      <c r="B24" s="61"/>
      <c r="C24" s="61"/>
      <c r="D24" s="61"/>
      <c r="E24" s="61"/>
      <c r="F24" s="61"/>
      <c r="G24" s="61"/>
      <c r="H24" s="87"/>
      <c r="I24" s="62"/>
    </row>
    <row r="25" spans="1:9" x14ac:dyDescent="0.2">
      <c r="A25" s="173"/>
      <c r="B25" s="61"/>
      <c r="C25" s="61"/>
      <c r="D25" s="61"/>
      <c r="E25" s="61"/>
      <c r="F25" s="61"/>
      <c r="G25" s="61"/>
      <c r="H25" s="87"/>
      <c r="I25" s="62"/>
    </row>
    <row r="26" spans="1:9" x14ac:dyDescent="0.2">
      <c r="A26" s="173"/>
      <c r="B26" s="61"/>
      <c r="C26" s="61"/>
      <c r="D26" s="61"/>
      <c r="E26" s="61"/>
      <c r="F26" s="61"/>
      <c r="G26" s="61"/>
      <c r="H26" s="87"/>
      <c r="I26" s="62"/>
    </row>
    <row r="27" spans="1:9" x14ac:dyDescent="0.2">
      <c r="A27" s="173"/>
      <c r="B27" s="61"/>
      <c r="C27" s="61"/>
      <c r="D27" s="61"/>
      <c r="E27" s="61"/>
      <c r="F27" s="61"/>
      <c r="G27" s="61"/>
      <c r="H27" s="87"/>
      <c r="I27" s="62"/>
    </row>
    <row r="28" spans="1:9" x14ac:dyDescent="0.2">
      <c r="A28" s="173"/>
      <c r="B28" s="61"/>
      <c r="C28" s="61"/>
      <c r="D28" s="61"/>
      <c r="E28" s="61"/>
      <c r="F28" s="61"/>
      <c r="G28" s="61"/>
      <c r="H28" s="87"/>
      <c r="I28" s="62"/>
    </row>
    <row r="29" spans="1:9" x14ac:dyDescent="0.2">
      <c r="A29" s="173"/>
      <c r="B29" s="61"/>
      <c r="C29" s="61"/>
      <c r="D29" s="61"/>
      <c r="E29" s="61"/>
      <c r="F29" s="61"/>
      <c r="G29" s="61"/>
      <c r="H29" s="87"/>
      <c r="I29" s="62"/>
    </row>
    <row r="30" spans="1:9" x14ac:dyDescent="0.2">
      <c r="A30" s="173"/>
      <c r="B30" s="61"/>
      <c r="C30" s="61"/>
      <c r="D30" s="61"/>
      <c r="E30" s="61"/>
      <c r="F30" s="61"/>
      <c r="G30" s="61"/>
      <c r="H30" s="87"/>
      <c r="I30" s="62"/>
    </row>
    <row r="31" spans="1:9" x14ac:dyDescent="0.2">
      <c r="A31" s="173"/>
      <c r="B31" s="61"/>
      <c r="C31" s="61"/>
      <c r="D31" s="61"/>
      <c r="E31" s="61"/>
      <c r="F31" s="61"/>
      <c r="G31" s="61"/>
      <c r="H31" s="87"/>
      <c r="I31" s="62"/>
    </row>
    <row r="32" spans="1:9" x14ac:dyDescent="0.2">
      <c r="A32" s="173"/>
      <c r="B32" s="61"/>
      <c r="C32" s="61"/>
      <c r="D32" s="61"/>
      <c r="E32" s="61"/>
      <c r="F32" s="61"/>
      <c r="G32" s="61"/>
      <c r="H32" s="87"/>
      <c r="I32" s="62"/>
    </row>
    <row r="33" spans="1:9" x14ac:dyDescent="0.2">
      <c r="A33" s="173"/>
      <c r="B33" s="61"/>
      <c r="C33" s="61"/>
      <c r="D33" s="61"/>
      <c r="E33" s="61"/>
      <c r="F33" s="61"/>
      <c r="G33" s="61"/>
      <c r="H33" s="87"/>
      <c r="I33" s="62"/>
    </row>
    <row r="34" spans="1:9" x14ac:dyDescent="0.2">
      <c r="A34" s="173"/>
      <c r="B34" s="61"/>
      <c r="C34" s="61"/>
      <c r="D34" s="61"/>
      <c r="E34" s="61"/>
      <c r="F34" s="61"/>
      <c r="G34" s="61"/>
      <c r="H34" s="87"/>
      <c r="I34" s="62"/>
    </row>
    <row r="35" spans="1:9" x14ac:dyDescent="0.2">
      <c r="A35" s="173"/>
      <c r="B35" s="61"/>
      <c r="C35" s="61"/>
      <c r="D35" s="61"/>
      <c r="E35" s="61"/>
      <c r="F35" s="28"/>
      <c r="G35" s="61"/>
      <c r="H35" s="98"/>
      <c r="I35" s="62"/>
    </row>
    <row r="36" spans="1:9" x14ac:dyDescent="0.2">
      <c r="A36" s="173"/>
      <c r="B36" s="61"/>
      <c r="C36" s="61"/>
      <c r="D36" s="61"/>
      <c r="E36" s="61"/>
      <c r="F36" s="61"/>
      <c r="G36" s="61"/>
      <c r="H36" s="87"/>
      <c r="I36" s="62"/>
    </row>
    <row r="37" spans="1:9" x14ac:dyDescent="0.2">
      <c r="A37" s="173"/>
      <c r="B37" s="61"/>
      <c r="C37" s="61"/>
      <c r="D37" s="61"/>
      <c r="E37" s="61"/>
      <c r="F37" s="28"/>
      <c r="G37" s="61"/>
      <c r="H37" s="98"/>
      <c r="I37" s="62"/>
    </row>
    <row r="38" spans="1:9" x14ac:dyDescent="0.2">
      <c r="A38" s="173"/>
      <c r="B38" s="61"/>
      <c r="C38" s="61"/>
      <c r="D38" s="61"/>
      <c r="E38" s="61"/>
      <c r="F38" s="61"/>
      <c r="G38" s="61"/>
      <c r="H38" s="87"/>
      <c r="I38" s="62"/>
    </row>
    <row r="39" spans="1:9" x14ac:dyDescent="0.2">
      <c r="A39" s="173"/>
      <c r="B39" s="61"/>
      <c r="C39" s="61"/>
      <c r="D39" s="61"/>
      <c r="E39" s="61"/>
      <c r="F39" s="28"/>
      <c r="G39" s="61"/>
      <c r="H39" s="98"/>
      <c r="I39" s="62"/>
    </row>
    <row r="40" spans="1:9" x14ac:dyDescent="0.2">
      <c r="A40" s="173"/>
      <c r="B40" s="61"/>
      <c r="C40" s="61"/>
      <c r="D40" s="61"/>
      <c r="E40" s="61"/>
      <c r="F40" s="61"/>
      <c r="G40" s="61"/>
      <c r="H40" s="87"/>
      <c r="I40" s="62"/>
    </row>
    <row r="41" spans="1:9" x14ac:dyDescent="0.2">
      <c r="A41" s="173"/>
      <c r="B41" s="61"/>
      <c r="C41" s="61"/>
      <c r="D41" s="61"/>
      <c r="E41" s="61"/>
      <c r="F41" s="28"/>
      <c r="G41" s="61"/>
      <c r="H41" s="98"/>
      <c r="I41" s="62"/>
    </row>
    <row r="42" spans="1:9" x14ac:dyDescent="0.2">
      <c r="A42" s="173"/>
      <c r="B42" s="61"/>
      <c r="C42" s="61"/>
      <c r="D42" s="61"/>
      <c r="E42" s="61"/>
      <c r="F42" s="61"/>
      <c r="G42" s="61"/>
      <c r="H42" s="87"/>
      <c r="I42" s="62"/>
    </row>
    <row r="43" spans="1:9" x14ac:dyDescent="0.2">
      <c r="A43" s="173"/>
      <c r="B43" s="61"/>
      <c r="C43" s="61"/>
      <c r="D43" s="61"/>
      <c r="E43" s="61"/>
      <c r="F43" s="28"/>
      <c r="G43" s="61"/>
      <c r="H43" s="98"/>
      <c r="I43" s="62"/>
    </row>
    <row r="44" spans="1:9" x14ac:dyDescent="0.2">
      <c r="A44" s="173"/>
      <c r="B44" s="61"/>
      <c r="C44" s="61"/>
      <c r="D44" s="61"/>
      <c r="E44" s="61"/>
      <c r="F44" s="61"/>
      <c r="G44" s="61"/>
      <c r="H44" s="87"/>
      <c r="I44" s="62"/>
    </row>
    <row r="45" spans="1:9" x14ac:dyDescent="0.2">
      <c r="A45" s="173"/>
      <c r="B45" s="61"/>
      <c r="C45" s="61"/>
      <c r="D45" s="61"/>
      <c r="E45" s="61"/>
      <c r="F45" s="28"/>
      <c r="G45" s="61"/>
      <c r="H45" s="98"/>
      <c r="I45" s="62"/>
    </row>
    <row r="46" spans="1:9" x14ac:dyDescent="0.2">
      <c r="A46" s="173"/>
      <c r="B46" s="61"/>
      <c r="C46" s="61"/>
      <c r="D46" s="61"/>
      <c r="E46" s="61"/>
      <c r="F46" s="61"/>
      <c r="G46" s="61"/>
      <c r="H46" s="87"/>
      <c r="I46" s="62"/>
    </row>
    <row r="47" spans="1:9" x14ac:dyDescent="0.2">
      <c r="A47" s="173"/>
      <c r="B47" s="61"/>
      <c r="C47" s="61"/>
      <c r="D47" s="61"/>
      <c r="E47" s="61"/>
      <c r="F47" s="28"/>
      <c r="G47" s="61"/>
      <c r="H47" s="98"/>
      <c r="I47" s="62"/>
    </row>
    <row r="48" spans="1:9" x14ac:dyDescent="0.2">
      <c r="A48" s="173"/>
      <c r="B48" s="61"/>
      <c r="C48" s="61"/>
      <c r="D48" s="61"/>
      <c r="E48" s="61"/>
      <c r="F48" s="61"/>
      <c r="G48" s="61"/>
      <c r="H48" s="87"/>
      <c r="I48" s="62"/>
    </row>
    <row r="49" spans="1:9" x14ac:dyDescent="0.2">
      <c r="A49" s="173"/>
      <c r="B49" s="61"/>
      <c r="C49" s="61"/>
      <c r="D49" s="61"/>
      <c r="E49" s="61"/>
      <c r="F49" s="28"/>
      <c r="G49" s="61"/>
      <c r="H49" s="98"/>
      <c r="I49" s="62"/>
    </row>
    <row r="50" spans="1:9" x14ac:dyDescent="0.2">
      <c r="A50" s="173"/>
      <c r="B50" s="61"/>
      <c r="C50" s="61"/>
      <c r="D50" s="61"/>
      <c r="E50" s="61"/>
      <c r="F50" s="61"/>
      <c r="G50" s="61"/>
      <c r="H50" s="87"/>
      <c r="I50" s="62"/>
    </row>
    <row r="51" spans="1:9" x14ac:dyDescent="0.2">
      <c r="A51" s="173"/>
      <c r="B51" s="61"/>
      <c r="C51" s="61"/>
      <c r="D51" s="61"/>
      <c r="E51" s="61"/>
      <c r="F51" s="28"/>
      <c r="G51" s="61"/>
      <c r="H51" s="98"/>
      <c r="I51" s="62"/>
    </row>
    <row r="52" spans="1:9" x14ac:dyDescent="0.2">
      <c r="A52" s="173"/>
      <c r="B52" s="61"/>
      <c r="C52" s="61"/>
      <c r="D52" s="61"/>
      <c r="E52" s="61"/>
      <c r="F52" s="61"/>
      <c r="G52" s="61"/>
      <c r="H52" s="87"/>
      <c r="I52" s="62"/>
    </row>
    <row r="53" spans="1:9" x14ac:dyDescent="0.2">
      <c r="A53" s="165"/>
      <c r="B53" s="61"/>
      <c r="C53" s="61"/>
      <c r="D53" s="61"/>
      <c r="E53" s="61"/>
      <c r="F53" s="28"/>
      <c r="G53" s="61"/>
      <c r="H53" s="98"/>
      <c r="I53" s="62"/>
    </row>
    <row r="54" spans="1:9" x14ac:dyDescent="0.2">
      <c r="A54" s="82" t="s">
        <v>280</v>
      </c>
      <c r="B54" s="149"/>
      <c r="C54" s="149"/>
      <c r="D54" s="149"/>
      <c r="E54" s="149"/>
      <c r="F54" s="174"/>
      <c r="G54" s="149"/>
      <c r="H54" s="175"/>
      <c r="I54" s="176"/>
    </row>
  </sheetData>
  <sheetProtection selectLockedCells="1" selectUnlockedCells="1"/>
  <mergeCells count="3">
    <mergeCell ref="B3:C3"/>
    <mergeCell ref="D3:E3"/>
    <mergeCell ref="F3:G3"/>
  </mergeCells>
  <pageMargins left="0.25972222222222224" right="0.4597222222222222" top="0.42986111111111114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zoomScale="90" zoomScaleNormal="90" workbookViewId="0">
      <selection activeCell="B4" sqref="B4"/>
    </sheetView>
  </sheetViews>
  <sheetFormatPr defaultColWidth="11.28515625" defaultRowHeight="12.75" x14ac:dyDescent="0.2"/>
  <cols>
    <col min="1" max="1" width="32" style="177" customWidth="1"/>
    <col min="2" max="7" width="13.85546875" style="177" customWidth="1"/>
    <col min="8" max="8" width="17.28515625" style="177" customWidth="1"/>
    <col min="9" max="16384" width="11.28515625" style="177"/>
  </cols>
  <sheetData>
    <row r="1" spans="1:7" x14ac:dyDescent="0.2">
      <c r="A1" s="1" t="s">
        <v>0</v>
      </c>
      <c r="B1"/>
      <c r="C1"/>
      <c r="D1"/>
      <c r="E1" s="145"/>
      <c r="F1" s="2">
        <f>InfoInicial!E1</f>
        <v>6</v>
      </c>
    </row>
    <row r="2" spans="1:7" ht="15.75" x14ac:dyDescent="0.25">
      <c r="A2" s="178" t="s">
        <v>281</v>
      </c>
      <c r="B2" s="179"/>
      <c r="C2" s="179"/>
      <c r="D2" s="179"/>
      <c r="E2" s="179"/>
      <c r="F2" s="179"/>
      <c r="G2" s="180"/>
    </row>
    <row r="3" spans="1:7" x14ac:dyDescent="0.2">
      <c r="A3" s="181" t="s">
        <v>94</v>
      </c>
      <c r="B3" s="182" t="s">
        <v>54</v>
      </c>
      <c r="C3" s="182" t="s">
        <v>95</v>
      </c>
      <c r="D3" s="182" t="s">
        <v>96</v>
      </c>
      <c r="E3" s="182" t="s">
        <v>97</v>
      </c>
      <c r="F3" s="183" t="s">
        <v>98</v>
      </c>
      <c r="G3" s="184" t="s">
        <v>198</v>
      </c>
    </row>
    <row r="4" spans="1:7" x14ac:dyDescent="0.2">
      <c r="A4" s="177" t="s">
        <v>282</v>
      </c>
      <c r="B4" s="61"/>
      <c r="C4" s="61"/>
      <c r="D4" s="61"/>
      <c r="E4" s="61"/>
      <c r="F4" s="114"/>
      <c r="G4" s="62"/>
    </row>
    <row r="5" spans="1:7" x14ac:dyDescent="0.2">
      <c r="A5" s="177" t="s">
        <v>283</v>
      </c>
      <c r="B5" s="61"/>
      <c r="C5" s="61"/>
      <c r="D5" s="61"/>
      <c r="E5" s="61"/>
      <c r="F5" s="114"/>
      <c r="G5" s="62"/>
    </row>
    <row r="6" spans="1:7" x14ac:dyDescent="0.2">
      <c r="A6" s="177" t="s">
        <v>284</v>
      </c>
      <c r="B6" s="61"/>
      <c r="C6" s="61"/>
      <c r="D6" s="61"/>
      <c r="E6" s="61"/>
      <c r="F6" s="114"/>
      <c r="G6" s="62"/>
    </row>
    <row r="7" spans="1:7" x14ac:dyDescent="0.2">
      <c r="A7" s="177" t="s">
        <v>120</v>
      </c>
      <c r="B7" s="85"/>
      <c r="C7" s="85"/>
      <c r="D7" s="85"/>
      <c r="E7" s="85"/>
      <c r="F7" s="115"/>
      <c r="G7" s="86"/>
    </row>
    <row r="8" spans="1:7" x14ac:dyDescent="0.2">
      <c r="A8" s="177" t="s">
        <v>285</v>
      </c>
      <c r="B8" s="61"/>
      <c r="C8" s="61"/>
      <c r="D8" s="61"/>
      <c r="E8" s="61"/>
      <c r="F8" s="114"/>
      <c r="G8" s="62"/>
    </row>
    <row r="9" spans="1:7" x14ac:dyDescent="0.2">
      <c r="A9" s="177" t="s">
        <v>286</v>
      </c>
      <c r="B9" s="61"/>
      <c r="C9" s="61"/>
      <c r="D9" s="61"/>
      <c r="E9" s="61"/>
      <c r="F9" s="114"/>
      <c r="G9" s="62"/>
    </row>
    <row r="10" spans="1:7" x14ac:dyDescent="0.2">
      <c r="A10" s="177" t="s">
        <v>287</v>
      </c>
      <c r="B10" s="61"/>
      <c r="C10" s="61"/>
      <c r="D10" s="61"/>
      <c r="E10" s="61"/>
      <c r="F10" s="114"/>
      <c r="G10" s="62"/>
    </row>
    <row r="11" spans="1:7" x14ac:dyDescent="0.2">
      <c r="A11" s="185" t="s">
        <v>288</v>
      </c>
      <c r="B11" s="61"/>
      <c r="C11" s="61"/>
      <c r="D11" s="61"/>
      <c r="E11" s="61"/>
      <c r="F11" s="114"/>
      <c r="G11" s="62"/>
    </row>
    <row r="12" spans="1:7" x14ac:dyDescent="0.2">
      <c r="A12" s="177" t="s">
        <v>289</v>
      </c>
      <c r="B12" s="61"/>
      <c r="C12" s="61"/>
      <c r="D12" s="61"/>
      <c r="E12" s="61"/>
      <c r="F12" s="114"/>
      <c r="G12" s="62"/>
    </row>
    <row r="13" spans="1:7" x14ac:dyDescent="0.2">
      <c r="A13" s="186" t="s">
        <v>290</v>
      </c>
      <c r="B13" s="61"/>
      <c r="C13" s="61"/>
      <c r="D13" s="61"/>
      <c r="E13" s="61"/>
      <c r="F13" s="114"/>
      <c r="G13" s="62"/>
    </row>
    <row r="14" spans="1:7" x14ac:dyDescent="0.2">
      <c r="A14" s="187" t="s">
        <v>291</v>
      </c>
      <c r="B14" s="68"/>
      <c r="C14" s="68"/>
      <c r="D14" s="68"/>
      <c r="E14" s="68"/>
      <c r="F14" s="116"/>
      <c r="G14" s="69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45"/>
  <sheetViews>
    <sheetView zoomScale="90" zoomScaleNormal="90" workbookViewId="0">
      <selection activeCell="D1" sqref="D1"/>
    </sheetView>
  </sheetViews>
  <sheetFormatPr defaultColWidth="11.28515625" defaultRowHeight="12.75" x14ac:dyDescent="0.2"/>
  <cols>
    <col min="1" max="1" width="54.28515625" style="177" customWidth="1"/>
    <col min="2" max="4" width="13.85546875" style="177" customWidth="1"/>
    <col min="5" max="250" width="11.28515625" style="177" customWidth="1"/>
  </cols>
  <sheetData>
    <row r="1" spans="1:5" x14ac:dyDescent="0.2">
      <c r="A1" s="1" t="s">
        <v>0</v>
      </c>
      <c r="B1"/>
      <c r="C1"/>
      <c r="D1">
        <f>InfoInicial!E1</f>
        <v>6</v>
      </c>
      <c r="E1" s="2"/>
    </row>
    <row r="2" spans="1:5" ht="15.75" x14ac:dyDescent="0.25">
      <c r="A2" s="178" t="s">
        <v>292</v>
      </c>
      <c r="B2" s="179"/>
      <c r="C2" s="179"/>
      <c r="D2" s="180"/>
    </row>
    <row r="3" spans="1:5" x14ac:dyDescent="0.2">
      <c r="A3" s="181" t="s">
        <v>94</v>
      </c>
      <c r="B3" s="188" t="s">
        <v>53</v>
      </c>
      <c r="C3" s="188" t="s">
        <v>54</v>
      </c>
      <c r="D3" s="184" t="s">
        <v>198</v>
      </c>
    </row>
    <row r="4" spans="1:5" x14ac:dyDescent="0.2">
      <c r="A4" s="185" t="s">
        <v>293</v>
      </c>
      <c r="B4" s="85"/>
      <c r="C4" s="85"/>
      <c r="D4" s="86"/>
    </row>
    <row r="5" spans="1:5" x14ac:dyDescent="0.2">
      <c r="B5" s="61"/>
      <c r="C5" s="61"/>
      <c r="D5" s="62"/>
    </row>
    <row r="6" spans="1:5" x14ac:dyDescent="0.2">
      <c r="A6" s="177" t="s">
        <v>294</v>
      </c>
      <c r="B6" s="61"/>
      <c r="C6" s="61"/>
      <c r="D6" s="62"/>
    </row>
    <row r="7" spans="1:5" x14ac:dyDescent="0.2">
      <c r="A7" s="177" t="s">
        <v>295</v>
      </c>
      <c r="B7" s="61"/>
      <c r="C7" s="61"/>
      <c r="D7" s="62"/>
    </row>
    <row r="8" spans="1:5" x14ac:dyDescent="0.2">
      <c r="A8" s="185" t="s">
        <v>296</v>
      </c>
      <c r="B8" s="61"/>
      <c r="C8" s="61"/>
      <c r="D8" s="62"/>
    </row>
    <row r="9" spans="1:5" x14ac:dyDescent="0.2">
      <c r="A9" s="186" t="s">
        <v>297</v>
      </c>
      <c r="B9" s="61"/>
      <c r="C9" s="61"/>
      <c r="D9" s="62"/>
    </row>
    <row r="10" spans="1:5" x14ac:dyDescent="0.2">
      <c r="A10" s="185" t="s">
        <v>298</v>
      </c>
      <c r="B10" s="61"/>
      <c r="C10" s="61"/>
      <c r="D10" s="62"/>
    </row>
    <row r="11" spans="1:5" x14ac:dyDescent="0.2">
      <c r="A11" s="185" t="s">
        <v>299</v>
      </c>
      <c r="B11" s="85"/>
      <c r="C11" s="85"/>
      <c r="D11" s="86"/>
    </row>
    <row r="12" spans="1:5" x14ac:dyDescent="0.2">
      <c r="A12" s="186" t="s">
        <v>300</v>
      </c>
      <c r="B12" s="61"/>
      <c r="C12" s="61"/>
      <c r="D12" s="62"/>
    </row>
    <row r="13" spans="1:5" x14ac:dyDescent="0.2">
      <c r="A13" s="177" t="s">
        <v>301</v>
      </c>
      <c r="B13" s="61"/>
      <c r="C13" s="61"/>
      <c r="D13" s="62"/>
    </row>
    <row r="14" spans="1:5" x14ac:dyDescent="0.2">
      <c r="A14" s="177" t="s">
        <v>302</v>
      </c>
      <c r="B14" s="61"/>
      <c r="C14" s="61"/>
      <c r="D14" s="62"/>
    </row>
    <row r="15" spans="1:5" x14ac:dyDescent="0.2">
      <c r="A15" s="185" t="s">
        <v>303</v>
      </c>
      <c r="B15" s="61"/>
      <c r="C15" s="61"/>
      <c r="D15" s="62"/>
    </row>
    <row r="16" spans="1:5" x14ac:dyDescent="0.2">
      <c r="A16" s="177" t="s">
        <v>120</v>
      </c>
      <c r="B16" s="85"/>
      <c r="C16" s="85"/>
      <c r="D16" s="86"/>
    </row>
    <row r="17" spans="1:5" x14ac:dyDescent="0.2">
      <c r="A17" s="177" t="s">
        <v>304</v>
      </c>
      <c r="B17" s="61"/>
      <c r="C17" s="61"/>
      <c r="D17" s="62"/>
    </row>
    <row r="18" spans="1:5" x14ac:dyDescent="0.2">
      <c r="A18" s="177" t="s">
        <v>305</v>
      </c>
      <c r="B18" s="61"/>
      <c r="C18" s="61"/>
      <c r="D18" s="62"/>
    </row>
    <row r="19" spans="1:5" x14ac:dyDescent="0.2">
      <c r="A19" s="177" t="s">
        <v>306</v>
      </c>
      <c r="B19" s="61"/>
      <c r="C19" s="61"/>
      <c r="D19" s="62"/>
    </row>
    <row r="20" spans="1:5" x14ac:dyDescent="0.2">
      <c r="A20" s="185" t="s">
        <v>307</v>
      </c>
      <c r="B20" s="61"/>
      <c r="C20" s="61"/>
      <c r="D20" s="62"/>
    </row>
    <row r="21" spans="1:5" x14ac:dyDescent="0.2">
      <c r="A21" s="177" t="s">
        <v>256</v>
      </c>
      <c r="B21" s="61"/>
      <c r="C21" s="61"/>
      <c r="D21" s="62"/>
    </row>
    <row r="22" spans="1:5" x14ac:dyDescent="0.2">
      <c r="A22" s="185" t="s">
        <v>308</v>
      </c>
      <c r="B22" s="61"/>
      <c r="C22" s="61"/>
      <c r="D22" s="62"/>
    </row>
    <row r="23" spans="1:5" x14ac:dyDescent="0.2">
      <c r="A23" s="185" t="s">
        <v>309</v>
      </c>
      <c r="B23" s="61"/>
      <c r="C23" s="61"/>
      <c r="D23" s="62"/>
    </row>
    <row r="24" spans="1:5" x14ac:dyDescent="0.2">
      <c r="A24" s="185" t="s">
        <v>310</v>
      </c>
      <c r="B24" s="85"/>
      <c r="C24" s="85"/>
      <c r="D24" s="86"/>
    </row>
    <row r="25" spans="1:5" x14ac:dyDescent="0.2">
      <c r="A25" s="177" t="s">
        <v>311</v>
      </c>
      <c r="B25" s="61"/>
      <c r="C25" s="61"/>
      <c r="D25" s="62"/>
    </row>
    <row r="26" spans="1:5" x14ac:dyDescent="0.2">
      <c r="A26" s="177" t="s">
        <v>312</v>
      </c>
      <c r="B26" s="61"/>
      <c r="C26" s="61"/>
      <c r="D26" s="62"/>
    </row>
    <row r="27" spans="1:5" x14ac:dyDescent="0.2">
      <c r="A27" s="185" t="s">
        <v>313</v>
      </c>
      <c r="B27" s="61"/>
      <c r="C27" s="61"/>
      <c r="D27" s="62"/>
      <c r="E27" s="189"/>
    </row>
    <row r="28" spans="1:5" x14ac:dyDescent="0.2">
      <c r="A28" s="185" t="s">
        <v>314</v>
      </c>
      <c r="B28" s="85"/>
      <c r="C28" s="85"/>
      <c r="D28" s="115"/>
      <c r="E28" s="190" t="s">
        <v>315</v>
      </c>
    </row>
    <row r="29" spans="1:5" x14ac:dyDescent="0.2">
      <c r="A29" s="185" t="s">
        <v>316</v>
      </c>
      <c r="B29" s="61"/>
      <c r="C29" s="61"/>
      <c r="D29" s="114"/>
      <c r="E29" s="88"/>
    </row>
    <row r="30" spans="1:5" x14ac:dyDescent="0.2">
      <c r="A30" s="185" t="s">
        <v>317</v>
      </c>
      <c r="B30" s="61"/>
      <c r="C30" s="61"/>
      <c r="D30" s="114"/>
      <c r="E30" s="88"/>
    </row>
    <row r="31" spans="1:5" x14ac:dyDescent="0.2">
      <c r="A31" s="185" t="s">
        <v>318</v>
      </c>
      <c r="B31" s="61"/>
      <c r="C31" s="61"/>
      <c r="D31" s="114"/>
      <c r="E31" s="88"/>
    </row>
    <row r="32" spans="1:5" x14ac:dyDescent="0.2">
      <c r="A32" s="187" t="s">
        <v>198</v>
      </c>
      <c r="B32" s="68"/>
      <c r="C32" s="68"/>
      <c r="D32" s="116"/>
      <c r="E32" s="81"/>
    </row>
    <row r="34" spans="1:6" ht="15.75" x14ac:dyDescent="0.25">
      <c r="A34" s="178" t="s">
        <v>319</v>
      </c>
      <c r="B34" s="179"/>
      <c r="C34" s="179"/>
      <c r="D34" s="179"/>
      <c r="E34" s="179"/>
      <c r="F34" s="179"/>
    </row>
    <row r="35" spans="1:6" x14ac:dyDescent="0.2">
      <c r="A35" s="181" t="s">
        <v>94</v>
      </c>
      <c r="B35" s="182" t="s">
        <v>54</v>
      </c>
      <c r="C35" s="182" t="s">
        <v>95</v>
      </c>
      <c r="D35" s="182" t="s">
        <v>96</v>
      </c>
      <c r="E35" s="182" t="s">
        <v>97</v>
      </c>
      <c r="F35" s="182" t="s">
        <v>98</v>
      </c>
    </row>
    <row r="36" spans="1:6" x14ac:dyDescent="0.2">
      <c r="A36" s="191" t="s">
        <v>160</v>
      </c>
      <c r="B36" s="28"/>
      <c r="C36" s="28"/>
      <c r="D36" s="28"/>
      <c r="E36" s="28"/>
      <c r="F36" s="28"/>
    </row>
    <row r="37" spans="1:6" x14ac:dyDescent="0.2">
      <c r="A37" s="192" t="s">
        <v>159</v>
      </c>
      <c r="B37" s="28"/>
      <c r="C37" s="28"/>
      <c r="D37" s="28"/>
      <c r="E37" s="28"/>
      <c r="F37" s="28"/>
    </row>
    <row r="38" spans="1:6" x14ac:dyDescent="0.2">
      <c r="A38" s="191" t="s">
        <v>162</v>
      </c>
      <c r="B38" s="28"/>
      <c r="C38" s="28"/>
      <c r="D38" s="28"/>
      <c r="E38" s="28"/>
      <c r="F38" s="28"/>
    </row>
    <row r="39" spans="1:6" x14ac:dyDescent="0.2">
      <c r="A39" s="192" t="s">
        <v>161</v>
      </c>
      <c r="B39" s="28"/>
      <c r="C39" s="28"/>
      <c r="D39" s="28"/>
      <c r="E39" s="28"/>
      <c r="F39" s="28"/>
    </row>
    <row r="40" spans="1:6" x14ac:dyDescent="0.2">
      <c r="A40" s="191" t="s">
        <v>164</v>
      </c>
      <c r="B40" s="28"/>
      <c r="C40" s="28"/>
      <c r="D40" s="28"/>
      <c r="E40" s="28"/>
      <c r="F40" s="28"/>
    </row>
    <row r="41" spans="1:6" x14ac:dyDescent="0.2">
      <c r="A41" s="192" t="s">
        <v>163</v>
      </c>
      <c r="B41" s="28"/>
      <c r="C41" s="28"/>
      <c r="D41" s="28"/>
      <c r="E41" s="28"/>
      <c r="F41" s="28"/>
    </row>
    <row r="42" spans="1:6" x14ac:dyDescent="0.2">
      <c r="A42" s="192" t="s">
        <v>320</v>
      </c>
      <c r="B42" s="28"/>
      <c r="C42" s="28"/>
      <c r="D42" s="28"/>
      <c r="E42" s="28"/>
      <c r="F42" s="28"/>
    </row>
    <row r="43" spans="1:6" x14ac:dyDescent="0.2">
      <c r="A43" s="191" t="s">
        <v>165</v>
      </c>
      <c r="B43" s="28"/>
      <c r="C43" s="28"/>
      <c r="D43" s="28"/>
      <c r="E43" s="28"/>
      <c r="F43" s="28"/>
    </row>
    <row r="44" spans="1:6" x14ac:dyDescent="0.2">
      <c r="A44" s="193" t="s">
        <v>166</v>
      </c>
      <c r="B44" s="32"/>
      <c r="C44" s="32"/>
      <c r="D44" s="32"/>
      <c r="E44" s="32"/>
      <c r="F44" s="32"/>
    </row>
    <row r="45" spans="1:6" ht="15.75" x14ac:dyDescent="0.25">
      <c r="A45" s="194" t="s">
        <v>321</v>
      </c>
    </row>
  </sheetData>
  <sheetProtection selectLockedCells="1" selectUnlockedCells="1"/>
  <pageMargins left="0.25972222222222224" right="0.4597222222222222" top="0.7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zoomScale="90" zoomScaleNormal="90" workbookViewId="0">
      <selection activeCell="E1" sqref="E1"/>
    </sheetView>
  </sheetViews>
  <sheetFormatPr defaultColWidth="11.28515625" defaultRowHeight="12.75" x14ac:dyDescent="0.2"/>
  <cols>
    <col min="1" max="1" width="42.85546875" style="177" customWidth="1"/>
    <col min="2" max="7" width="13.85546875" style="177" customWidth="1"/>
    <col min="8" max="8" width="17.28515625" style="177" customWidth="1"/>
    <col min="9" max="16384" width="11.28515625" style="177"/>
  </cols>
  <sheetData>
    <row r="1" spans="1:7" x14ac:dyDescent="0.2">
      <c r="A1" s="1" t="s">
        <v>0</v>
      </c>
      <c r="B1"/>
      <c r="C1"/>
      <c r="D1"/>
      <c r="E1" s="2">
        <f>InfoInicial!E1</f>
        <v>6</v>
      </c>
    </row>
    <row r="2" spans="1:7" ht="15.75" x14ac:dyDescent="0.25">
      <c r="A2" s="178" t="s">
        <v>217</v>
      </c>
      <c r="B2" s="179"/>
      <c r="C2" s="179"/>
      <c r="D2" s="179"/>
      <c r="E2" s="179"/>
      <c r="F2" s="179"/>
      <c r="G2" s="180"/>
    </row>
    <row r="3" spans="1:7" ht="15.75" x14ac:dyDescent="0.25">
      <c r="A3" s="195"/>
      <c r="B3" s="196" t="s">
        <v>218</v>
      </c>
      <c r="C3" s="196"/>
      <c r="D3" s="196"/>
      <c r="E3" s="196"/>
      <c r="F3" s="196"/>
      <c r="G3" s="197"/>
    </row>
    <row r="4" spans="1:7" x14ac:dyDescent="0.2">
      <c r="A4" s="198" t="s">
        <v>94</v>
      </c>
      <c r="B4" s="199" t="s">
        <v>53</v>
      </c>
      <c r="C4" s="182" t="s">
        <v>54</v>
      </c>
      <c r="D4" s="182" t="s">
        <v>95</v>
      </c>
      <c r="E4" s="182" t="s">
        <v>96</v>
      </c>
      <c r="F4" s="182" t="s">
        <v>97</v>
      </c>
      <c r="G4" s="184" t="s">
        <v>98</v>
      </c>
    </row>
    <row r="5" spans="1:7" x14ac:dyDescent="0.2">
      <c r="A5" s="200" t="s">
        <v>322</v>
      </c>
      <c r="B5" s="123"/>
      <c r="C5" s="106"/>
      <c r="D5" s="106"/>
      <c r="E5" s="106"/>
      <c r="F5" s="106"/>
      <c r="G5" s="107"/>
    </row>
    <row r="6" spans="1:7" x14ac:dyDescent="0.2">
      <c r="A6" s="201" t="s">
        <v>323</v>
      </c>
      <c r="B6" s="125"/>
      <c r="C6" s="61"/>
      <c r="D6" s="61"/>
      <c r="E6" s="61"/>
      <c r="F6" s="61"/>
      <c r="G6" s="62"/>
    </row>
    <row r="7" spans="1:7" x14ac:dyDescent="0.2">
      <c r="A7" s="201" t="s">
        <v>324</v>
      </c>
      <c r="B7" s="125"/>
      <c r="C7" s="61"/>
      <c r="D7" s="61"/>
      <c r="E7" s="61"/>
      <c r="F7" s="61"/>
      <c r="G7" s="62"/>
    </row>
    <row r="8" spans="1:7" x14ac:dyDescent="0.2">
      <c r="A8" s="202" t="s">
        <v>325</v>
      </c>
      <c r="B8" s="125"/>
      <c r="C8" s="61"/>
      <c r="D8" s="61"/>
      <c r="E8" s="61"/>
      <c r="F8" s="61"/>
      <c r="G8" s="62"/>
    </row>
    <row r="9" spans="1:7" x14ac:dyDescent="0.2">
      <c r="A9" s="202" t="s">
        <v>326</v>
      </c>
      <c r="B9" s="125"/>
      <c r="C9" s="61"/>
      <c r="D9" s="61"/>
      <c r="E9" s="61"/>
      <c r="F9" s="61"/>
      <c r="G9" s="62"/>
    </row>
    <row r="10" spans="1:7" x14ac:dyDescent="0.2">
      <c r="A10" s="203" t="s">
        <v>327</v>
      </c>
      <c r="B10" s="125"/>
      <c r="C10" s="61"/>
      <c r="D10" s="61"/>
      <c r="E10" s="61"/>
      <c r="F10" s="61"/>
      <c r="G10" s="62"/>
    </row>
    <row r="11" spans="1:7" x14ac:dyDescent="0.2">
      <c r="A11" s="203"/>
      <c r="B11" s="127"/>
      <c r="C11" s="85"/>
      <c r="D11" s="85"/>
      <c r="E11" s="85"/>
      <c r="F11" s="85"/>
      <c r="G11" s="86"/>
    </row>
    <row r="12" spans="1:7" x14ac:dyDescent="0.2">
      <c r="A12" s="201" t="s">
        <v>229</v>
      </c>
      <c r="B12" s="125"/>
      <c r="C12" s="61"/>
      <c r="D12" s="61"/>
      <c r="E12" s="61"/>
      <c r="F12" s="61"/>
      <c r="G12" s="62"/>
    </row>
    <row r="13" spans="1:7" x14ac:dyDescent="0.2">
      <c r="A13" s="201" t="s">
        <v>230</v>
      </c>
      <c r="B13" s="125"/>
      <c r="C13" s="61"/>
      <c r="D13" s="61"/>
      <c r="E13" s="61"/>
      <c r="F13" s="61"/>
      <c r="G13" s="62"/>
    </row>
    <row r="14" spans="1:7" x14ac:dyDescent="0.2">
      <c r="A14" s="203" t="s">
        <v>328</v>
      </c>
      <c r="B14" s="125"/>
      <c r="C14" s="61"/>
      <c r="D14" s="61"/>
      <c r="E14" s="61"/>
      <c r="F14" s="61"/>
      <c r="G14" s="62"/>
    </row>
    <row r="15" spans="1:7" x14ac:dyDescent="0.2">
      <c r="A15" s="201"/>
      <c r="B15" s="127"/>
      <c r="C15" s="85"/>
      <c r="D15" s="85"/>
      <c r="E15" s="85"/>
      <c r="F15" s="85"/>
      <c r="G15" s="86"/>
    </row>
    <row r="16" spans="1:7" x14ac:dyDescent="0.2">
      <c r="A16" s="204" t="s">
        <v>329</v>
      </c>
      <c r="B16" s="125"/>
      <c r="C16" s="61"/>
      <c r="D16" s="61"/>
      <c r="E16" s="61"/>
      <c r="F16" s="61"/>
      <c r="G16" s="62"/>
    </row>
    <row r="17" spans="1:7" x14ac:dyDescent="0.2">
      <c r="A17" s="204" t="s">
        <v>330</v>
      </c>
      <c r="B17" s="125"/>
      <c r="C17" s="61"/>
      <c r="D17" s="61"/>
      <c r="E17" s="61"/>
      <c r="F17" s="61"/>
      <c r="G17" s="62"/>
    </row>
    <row r="18" spans="1:7" x14ac:dyDescent="0.2">
      <c r="A18" s="203" t="s">
        <v>331</v>
      </c>
      <c r="B18" s="125"/>
      <c r="C18" s="61"/>
      <c r="D18" s="61"/>
      <c r="E18" s="61"/>
      <c r="F18" s="61"/>
      <c r="G18" s="62"/>
    </row>
    <row r="19" spans="1:7" x14ac:dyDescent="0.2">
      <c r="A19" s="203" t="s">
        <v>332</v>
      </c>
      <c r="B19" s="125"/>
      <c r="C19" s="61"/>
      <c r="D19" s="61"/>
      <c r="E19" s="61"/>
      <c r="F19" s="61"/>
      <c r="G19" s="62"/>
    </row>
    <row r="20" spans="1:7" x14ac:dyDescent="0.2">
      <c r="A20" s="201"/>
      <c r="B20" s="127"/>
      <c r="C20" s="85"/>
      <c r="D20" s="85"/>
      <c r="E20" s="85"/>
      <c r="F20" s="85"/>
      <c r="G20" s="86"/>
    </row>
    <row r="21" spans="1:7" x14ac:dyDescent="0.2">
      <c r="A21" s="205" t="s">
        <v>236</v>
      </c>
      <c r="B21" s="130"/>
      <c r="C21" s="68"/>
      <c r="D21" s="68"/>
      <c r="E21" s="68"/>
      <c r="F21" s="68"/>
      <c r="G21" s="69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zoomScale="90" zoomScaleNormal="90" workbookViewId="0">
      <selection activeCell="B5" sqref="B5"/>
    </sheetView>
  </sheetViews>
  <sheetFormatPr defaultColWidth="11.28515625" defaultRowHeight="12.75" x14ac:dyDescent="0.2"/>
  <cols>
    <col min="1" max="1" width="40.85546875" style="206" customWidth="1"/>
    <col min="2" max="7" width="14.7109375" style="206" customWidth="1"/>
    <col min="8" max="8" width="21.7109375" style="206" customWidth="1"/>
    <col min="9" max="9" width="17.28515625" style="206" customWidth="1"/>
    <col min="10" max="16384" width="11.28515625" style="206"/>
  </cols>
  <sheetData>
    <row r="1" spans="1:8" x14ac:dyDescent="0.2">
      <c r="A1" s="1" t="s">
        <v>0</v>
      </c>
      <c r="B1"/>
      <c r="C1"/>
      <c r="D1"/>
      <c r="E1" s="2">
        <f>InfoInicial!E1</f>
        <v>6</v>
      </c>
    </row>
    <row r="3" spans="1:8" ht="15.75" x14ac:dyDescent="0.25">
      <c r="A3" s="207" t="s">
        <v>333</v>
      </c>
      <c r="B3" s="208"/>
      <c r="C3" s="208"/>
      <c r="D3" s="208"/>
      <c r="E3" s="208"/>
      <c r="F3" s="208"/>
      <c r="G3" s="209"/>
      <c r="H3" s="210"/>
    </row>
    <row r="4" spans="1:8" x14ac:dyDescent="0.2">
      <c r="A4" s="211"/>
      <c r="B4" s="212" t="s">
        <v>53</v>
      </c>
      <c r="C4" s="212" t="s">
        <v>54</v>
      </c>
      <c r="D4" s="212" t="s">
        <v>95</v>
      </c>
      <c r="E4" s="212" t="s">
        <v>96</v>
      </c>
      <c r="F4" s="212" t="s">
        <v>97</v>
      </c>
      <c r="G4" s="213" t="s">
        <v>98</v>
      </c>
      <c r="H4" s="214" t="s">
        <v>198</v>
      </c>
    </row>
    <row r="5" spans="1:8" x14ac:dyDescent="0.2">
      <c r="A5" s="185" t="s">
        <v>334</v>
      </c>
      <c r="B5" s="92"/>
      <c r="C5" s="92"/>
      <c r="D5" s="92"/>
      <c r="E5" s="92"/>
      <c r="F5" s="92"/>
      <c r="G5" s="215"/>
      <c r="H5" s="93"/>
    </row>
    <row r="6" spans="1:8" x14ac:dyDescent="0.2">
      <c r="A6" s="177" t="s">
        <v>335</v>
      </c>
      <c r="B6" s="61"/>
      <c r="C6" s="61"/>
      <c r="D6" s="61"/>
      <c r="E6" s="61"/>
      <c r="F6" s="61"/>
      <c r="G6" s="114"/>
      <c r="H6" s="62"/>
    </row>
    <row r="7" spans="1:8" x14ac:dyDescent="0.2">
      <c r="A7" s="177" t="s">
        <v>336</v>
      </c>
      <c r="B7" s="216"/>
      <c r="C7" s="216"/>
      <c r="D7" s="216"/>
      <c r="E7" s="216"/>
      <c r="F7" s="216"/>
      <c r="G7" s="217"/>
      <c r="H7" s="218"/>
    </row>
    <row r="8" spans="1:8" x14ac:dyDescent="0.2">
      <c r="A8" s="177" t="s">
        <v>337</v>
      </c>
      <c r="B8" s="61"/>
      <c r="C8" s="61"/>
      <c r="D8" s="61"/>
      <c r="E8" s="61"/>
      <c r="F8" s="61"/>
      <c r="G8" s="114"/>
      <c r="H8" s="62"/>
    </row>
    <row r="9" spans="1:8" x14ac:dyDescent="0.2">
      <c r="A9" s="177" t="s">
        <v>338</v>
      </c>
      <c r="B9" s="216"/>
      <c r="C9" s="216"/>
      <c r="D9" s="216"/>
      <c r="E9" s="216"/>
      <c r="F9" s="216"/>
      <c r="G9" s="217"/>
      <c r="H9" s="218"/>
    </row>
    <row r="10" spans="1:8" x14ac:dyDescent="0.2">
      <c r="A10" s="177" t="s">
        <v>339</v>
      </c>
      <c r="B10" s="61"/>
      <c r="C10" s="61"/>
      <c r="D10" s="61"/>
      <c r="E10" s="61"/>
      <c r="F10" s="61"/>
      <c r="G10" s="114"/>
      <c r="H10" s="62"/>
    </row>
    <row r="11" spans="1:8" x14ac:dyDescent="0.2">
      <c r="A11" s="177" t="s">
        <v>340</v>
      </c>
      <c r="B11" s="92"/>
      <c r="C11" s="92"/>
      <c r="D11" s="92"/>
      <c r="E11" s="92"/>
      <c r="F11" s="92"/>
      <c r="G11" s="215"/>
      <c r="H11" s="93"/>
    </row>
    <row r="12" spans="1:8" x14ac:dyDescent="0.2">
      <c r="A12" s="177"/>
      <c r="B12" s="61"/>
      <c r="C12" s="61"/>
      <c r="D12" s="61"/>
      <c r="E12" s="61"/>
      <c r="F12" s="61"/>
      <c r="G12" s="114"/>
      <c r="H12" s="62"/>
    </row>
    <row r="13" spans="1:8" x14ac:dyDescent="0.2">
      <c r="A13" s="185" t="s">
        <v>341</v>
      </c>
      <c r="B13" s="61"/>
      <c r="C13" s="61"/>
      <c r="D13" s="61"/>
      <c r="E13" s="61"/>
      <c r="F13" s="61"/>
      <c r="G13" s="114"/>
      <c r="H13" s="62"/>
    </row>
    <row r="14" spans="1:8" x14ac:dyDescent="0.2">
      <c r="A14" s="177" t="s">
        <v>342</v>
      </c>
      <c r="B14" s="216"/>
      <c r="C14" s="216"/>
      <c r="D14" s="216"/>
      <c r="E14" s="216"/>
      <c r="F14" s="216"/>
      <c r="G14" s="217"/>
      <c r="H14" s="218"/>
    </row>
    <row r="15" spans="1:8" x14ac:dyDescent="0.2">
      <c r="A15" s="177" t="s">
        <v>266</v>
      </c>
      <c r="B15" s="61"/>
      <c r="C15" s="61"/>
      <c r="D15" s="61"/>
      <c r="E15" s="61"/>
      <c r="F15" s="61"/>
      <c r="G15" s="114"/>
      <c r="H15" s="62"/>
    </row>
    <row r="16" spans="1:8" x14ac:dyDescent="0.2">
      <c r="A16" s="177" t="s">
        <v>343</v>
      </c>
      <c r="B16" s="61"/>
      <c r="C16" s="61"/>
      <c r="D16" s="61"/>
      <c r="E16" s="61"/>
      <c r="F16" s="61"/>
      <c r="G16" s="114"/>
      <c r="H16" s="62"/>
    </row>
    <row r="17" spans="1:14" x14ac:dyDescent="0.2">
      <c r="A17" s="177" t="s">
        <v>344</v>
      </c>
      <c r="B17" s="61"/>
      <c r="C17" s="61"/>
      <c r="D17" s="61"/>
      <c r="E17" s="61"/>
      <c r="F17" s="61"/>
      <c r="G17" s="114"/>
      <c r="H17" s="62"/>
    </row>
    <row r="18" spans="1:14" x14ac:dyDescent="0.2">
      <c r="A18" s="177" t="s">
        <v>345</v>
      </c>
      <c r="B18" s="216"/>
      <c r="C18" s="216"/>
      <c r="D18" s="216"/>
      <c r="E18" s="216"/>
      <c r="F18" s="216"/>
      <c r="G18" s="217"/>
      <c r="H18" s="218"/>
    </row>
    <row r="19" spans="1:14" x14ac:dyDescent="0.2">
      <c r="A19" s="177" t="s">
        <v>346</v>
      </c>
      <c r="B19" s="61"/>
      <c r="C19" s="61"/>
      <c r="D19" s="61"/>
      <c r="E19" s="61"/>
      <c r="F19" s="61"/>
      <c r="G19" s="114"/>
      <c r="H19" s="62"/>
    </row>
    <row r="20" spans="1:14" x14ac:dyDescent="0.2">
      <c r="A20" s="177" t="s">
        <v>347</v>
      </c>
      <c r="B20" s="216"/>
      <c r="C20" s="216"/>
      <c r="D20" s="216"/>
      <c r="E20" s="216"/>
      <c r="F20" s="216"/>
      <c r="G20" s="217"/>
      <c r="H20" s="218"/>
    </row>
    <row r="21" spans="1:14" x14ac:dyDescent="0.2">
      <c r="A21" s="177" t="s">
        <v>348</v>
      </c>
      <c r="B21" s="61"/>
      <c r="C21" s="61"/>
      <c r="D21" s="61"/>
      <c r="E21" s="61"/>
      <c r="F21" s="61"/>
      <c r="G21" s="114"/>
      <c r="H21" s="62"/>
    </row>
    <row r="22" spans="1:14" x14ac:dyDescent="0.2">
      <c r="A22" s="177" t="s">
        <v>349</v>
      </c>
      <c r="B22" s="92"/>
      <c r="C22" s="92"/>
      <c r="D22" s="92"/>
      <c r="E22" s="92"/>
      <c r="F22" s="92"/>
      <c r="G22" s="215"/>
      <c r="H22" s="93"/>
    </row>
    <row r="23" spans="1:14" x14ac:dyDescent="0.2">
      <c r="A23" s="177"/>
      <c r="B23" s="85"/>
      <c r="C23" s="85"/>
      <c r="D23" s="85"/>
      <c r="E23" s="85"/>
      <c r="F23" s="85"/>
      <c r="G23" s="115"/>
      <c r="H23" s="86"/>
    </row>
    <row r="24" spans="1:14" x14ac:dyDescent="0.2">
      <c r="A24" s="185" t="s">
        <v>350</v>
      </c>
      <c r="B24" s="61"/>
      <c r="C24" s="61"/>
      <c r="D24" s="61"/>
      <c r="E24" s="61"/>
      <c r="F24" s="61"/>
      <c r="G24" s="114"/>
      <c r="H24" s="62"/>
    </row>
    <row r="25" spans="1:14" x14ac:dyDescent="0.2">
      <c r="A25" s="185" t="s">
        <v>351</v>
      </c>
      <c r="B25" s="61"/>
      <c r="C25" s="61"/>
      <c r="D25" s="61"/>
      <c r="E25" s="61"/>
      <c r="F25" s="61"/>
      <c r="G25" s="114"/>
      <c r="H25" s="62"/>
    </row>
    <row r="26" spans="1:14" x14ac:dyDescent="0.2">
      <c r="A26" s="185"/>
      <c r="B26" s="85"/>
      <c r="C26" s="85"/>
      <c r="D26" s="85"/>
      <c r="E26" s="85"/>
      <c r="F26" s="85"/>
      <c r="G26" s="115"/>
      <c r="H26" s="86"/>
    </row>
    <row r="27" spans="1:14" x14ac:dyDescent="0.2">
      <c r="A27" s="185" t="s">
        <v>352</v>
      </c>
      <c r="B27" s="94"/>
      <c r="C27" s="94"/>
      <c r="D27" s="94"/>
      <c r="E27" s="94"/>
      <c r="F27" s="94"/>
      <c r="G27" s="219"/>
      <c r="H27" s="95"/>
    </row>
    <row r="28" spans="1:14" x14ac:dyDescent="0.2">
      <c r="A28" s="193" t="s">
        <v>353</v>
      </c>
      <c r="B28" s="32"/>
      <c r="C28" s="32"/>
      <c r="D28" s="32"/>
      <c r="E28" s="32"/>
      <c r="F28" s="32"/>
      <c r="G28" s="220"/>
      <c r="H28" s="51"/>
      <c r="I28" s="177"/>
      <c r="J28" s="177"/>
      <c r="K28" s="177"/>
      <c r="L28" s="177"/>
      <c r="M28" s="177"/>
      <c r="N28" s="177"/>
    </row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0" zoomScale="90" zoomScaleNormal="90" workbookViewId="0">
      <selection activeCell="B35" sqref="B35"/>
    </sheetView>
  </sheetViews>
  <sheetFormatPr defaultColWidth="11.28515625" defaultRowHeight="12.75" x14ac:dyDescent="0.2"/>
  <cols>
    <col min="1" max="1" width="37.5703125" style="177" customWidth="1"/>
    <col min="2" max="7" width="14.7109375" style="177" customWidth="1"/>
    <col min="8" max="8" width="17.28515625" style="177" customWidth="1"/>
    <col min="9" max="16384" width="11.28515625" style="177"/>
  </cols>
  <sheetData>
    <row r="1" spans="1:7" x14ac:dyDescent="0.2">
      <c r="A1" s="1" t="s">
        <v>0</v>
      </c>
      <c r="B1"/>
      <c r="C1"/>
      <c r="D1"/>
      <c r="E1" s="2">
        <f>InfoInicial!E1</f>
        <v>6</v>
      </c>
    </row>
    <row r="3" spans="1:7" ht="15.75" x14ac:dyDescent="0.25">
      <c r="A3" s="207" t="s">
        <v>354</v>
      </c>
      <c r="B3" s="208"/>
      <c r="C3" s="208"/>
      <c r="D3" s="208"/>
      <c r="E3" s="208"/>
      <c r="F3" s="208"/>
      <c r="G3" s="210"/>
    </row>
    <row r="4" spans="1:7" x14ac:dyDescent="0.2">
      <c r="A4" s="221"/>
      <c r="B4" s="222" t="s">
        <v>53</v>
      </c>
      <c r="C4" s="222" t="s">
        <v>54</v>
      </c>
      <c r="D4" s="222" t="s">
        <v>95</v>
      </c>
      <c r="E4" s="222" t="s">
        <v>96</v>
      </c>
      <c r="F4" s="222" t="s">
        <v>97</v>
      </c>
      <c r="G4" s="223" t="s">
        <v>98</v>
      </c>
    </row>
    <row r="5" spans="1:7" x14ac:dyDescent="0.2">
      <c r="A5" s="224" t="s">
        <v>355</v>
      </c>
      <c r="B5" s="225"/>
      <c r="C5" s="225"/>
      <c r="D5" s="225"/>
      <c r="E5" s="225"/>
      <c r="F5" s="225"/>
      <c r="G5" s="226"/>
    </row>
    <row r="6" spans="1:7" x14ac:dyDescent="0.2">
      <c r="A6" s="191" t="s">
        <v>356</v>
      </c>
      <c r="B6" s="85"/>
      <c r="C6" s="85"/>
      <c r="D6" s="85"/>
      <c r="E6" s="85"/>
      <c r="F6" s="85"/>
      <c r="G6" s="86"/>
    </row>
    <row r="7" spans="1:7" x14ac:dyDescent="0.2">
      <c r="A7" s="211" t="s">
        <v>357</v>
      </c>
      <c r="B7" s="216"/>
      <c r="C7" s="216"/>
      <c r="D7" s="216"/>
      <c r="E7" s="216"/>
      <c r="F7" s="216"/>
      <c r="G7" s="218"/>
    </row>
    <row r="8" spans="1:7" x14ac:dyDescent="0.2">
      <c r="A8" s="211" t="s">
        <v>358</v>
      </c>
      <c r="B8" s="61"/>
      <c r="C8" s="61"/>
      <c r="D8" s="61"/>
      <c r="E8" s="61"/>
      <c r="F8" s="61"/>
      <c r="G8" s="62"/>
    </row>
    <row r="9" spans="1:7" x14ac:dyDescent="0.2">
      <c r="A9" s="191" t="s">
        <v>359</v>
      </c>
      <c r="B9" s="216"/>
      <c r="C9" s="216"/>
      <c r="D9" s="216"/>
      <c r="E9" s="216"/>
      <c r="F9" s="216"/>
      <c r="G9" s="218"/>
    </row>
    <row r="10" spans="1:7" x14ac:dyDescent="0.2">
      <c r="A10" s="191" t="s">
        <v>360</v>
      </c>
      <c r="B10" s="61"/>
      <c r="C10" s="61"/>
      <c r="D10" s="61"/>
      <c r="E10" s="61"/>
      <c r="F10" s="61"/>
      <c r="G10" s="62"/>
    </row>
    <row r="11" spans="1:7" x14ac:dyDescent="0.2">
      <c r="A11" s="191" t="s">
        <v>361</v>
      </c>
      <c r="B11" s="92"/>
      <c r="C11" s="92"/>
      <c r="D11" s="92"/>
      <c r="E11" s="92"/>
      <c r="F11" s="92"/>
      <c r="G11" s="93"/>
    </row>
    <row r="12" spans="1:7" x14ac:dyDescent="0.2">
      <c r="A12" s="191" t="s">
        <v>362</v>
      </c>
      <c r="B12" s="92"/>
      <c r="C12" s="92"/>
      <c r="D12" s="92"/>
      <c r="E12" s="92"/>
      <c r="F12" s="92"/>
      <c r="G12" s="93"/>
    </row>
    <row r="13" spans="1:7" x14ac:dyDescent="0.2">
      <c r="A13" s="191" t="s">
        <v>363</v>
      </c>
      <c r="B13" s="227"/>
      <c r="C13" s="227"/>
      <c r="D13" s="227"/>
      <c r="E13" s="227"/>
      <c r="F13" s="227"/>
      <c r="G13" s="228"/>
    </row>
    <row r="14" spans="1:7" x14ac:dyDescent="0.2">
      <c r="A14" s="211" t="s">
        <v>364</v>
      </c>
      <c r="B14" s="61"/>
      <c r="C14" s="61"/>
      <c r="D14" s="61"/>
      <c r="E14" s="61"/>
      <c r="F14" s="61"/>
      <c r="G14" s="62"/>
    </row>
    <row r="15" spans="1:7" x14ac:dyDescent="0.2">
      <c r="A15" s="211" t="s">
        <v>365</v>
      </c>
      <c r="B15" s="216"/>
      <c r="C15" s="216"/>
      <c r="D15" s="216"/>
      <c r="E15" s="216"/>
      <c r="F15" s="216"/>
      <c r="G15" s="218"/>
    </row>
    <row r="16" spans="1:7" x14ac:dyDescent="0.2">
      <c r="A16" s="211" t="s">
        <v>366</v>
      </c>
      <c r="B16" s="61"/>
      <c r="C16" s="61"/>
      <c r="D16" s="61"/>
      <c r="E16" s="61"/>
      <c r="F16" s="61"/>
      <c r="G16" s="62"/>
    </row>
    <row r="17" spans="1:7" x14ac:dyDescent="0.2">
      <c r="A17" s="211" t="s">
        <v>367</v>
      </c>
      <c r="B17" s="61"/>
      <c r="C17" s="61"/>
      <c r="D17" s="61"/>
      <c r="E17" s="61"/>
      <c r="F17" s="61"/>
      <c r="G17" s="62"/>
    </row>
    <row r="18" spans="1:7" x14ac:dyDescent="0.2">
      <c r="A18" s="191" t="s">
        <v>87</v>
      </c>
      <c r="B18" s="216"/>
      <c r="C18" s="216"/>
      <c r="D18" s="216"/>
      <c r="E18" s="216"/>
      <c r="F18" s="216"/>
      <c r="G18" s="218"/>
    </row>
    <row r="19" spans="1:7" x14ac:dyDescent="0.2">
      <c r="A19" s="211" t="s">
        <v>364</v>
      </c>
      <c r="B19" s="61"/>
      <c r="C19" s="61"/>
      <c r="D19" s="61"/>
      <c r="E19" s="61"/>
      <c r="F19" s="61"/>
      <c r="G19" s="62"/>
    </row>
    <row r="20" spans="1:7" x14ac:dyDescent="0.2">
      <c r="A20" s="211" t="s">
        <v>368</v>
      </c>
      <c r="B20" s="61"/>
      <c r="C20" s="61"/>
      <c r="D20" s="61"/>
      <c r="E20" s="61"/>
      <c r="F20" s="61"/>
      <c r="G20" s="62"/>
    </row>
    <row r="21" spans="1:7" x14ac:dyDescent="0.2">
      <c r="A21" s="211" t="s">
        <v>369</v>
      </c>
      <c r="B21" s="61"/>
      <c r="C21" s="61"/>
      <c r="D21" s="61"/>
      <c r="E21" s="61"/>
      <c r="F21" s="61"/>
      <c r="G21" s="62"/>
    </row>
    <row r="22" spans="1:7" x14ac:dyDescent="0.2">
      <c r="A22" s="211" t="s">
        <v>367</v>
      </c>
      <c r="B22" s="216"/>
      <c r="C22" s="216"/>
      <c r="D22" s="216"/>
      <c r="E22" s="216"/>
      <c r="F22" s="216"/>
      <c r="G22" s="218"/>
    </row>
    <row r="23" spans="1:7" x14ac:dyDescent="0.2">
      <c r="A23" s="191" t="s">
        <v>370</v>
      </c>
      <c r="B23" s="216"/>
      <c r="C23" s="216"/>
      <c r="D23" s="216"/>
      <c r="E23" s="216"/>
      <c r="F23" s="216"/>
      <c r="G23" s="218"/>
    </row>
    <row r="24" spans="1:7" x14ac:dyDescent="0.2">
      <c r="A24" s="191" t="s">
        <v>371</v>
      </c>
      <c r="B24" s="216"/>
      <c r="C24" s="216"/>
      <c r="D24" s="216"/>
      <c r="E24" s="216"/>
      <c r="F24" s="216"/>
      <c r="G24" s="218"/>
    </row>
    <row r="25" spans="1:7" x14ac:dyDescent="0.2">
      <c r="A25" s="191" t="s">
        <v>372</v>
      </c>
      <c r="B25" s="216"/>
      <c r="C25" s="216"/>
      <c r="D25" s="216"/>
      <c r="E25" s="216"/>
      <c r="F25" s="216"/>
      <c r="G25" s="218"/>
    </row>
    <row r="26" spans="1:7" x14ac:dyDescent="0.2">
      <c r="A26" s="191" t="s">
        <v>373</v>
      </c>
      <c r="B26" s="216"/>
      <c r="C26" s="216"/>
      <c r="D26" s="216"/>
      <c r="E26" s="216"/>
      <c r="F26" s="216"/>
      <c r="G26" s="218"/>
    </row>
    <row r="27" spans="1:7" x14ac:dyDescent="0.2">
      <c r="A27" s="191" t="s">
        <v>374</v>
      </c>
      <c r="B27" s="61"/>
      <c r="C27" s="61"/>
      <c r="D27" s="61"/>
      <c r="E27" s="61"/>
      <c r="F27" s="61"/>
      <c r="G27" s="62"/>
    </row>
    <row r="28" spans="1:7" x14ac:dyDescent="0.2">
      <c r="A28" s="191" t="s">
        <v>375</v>
      </c>
      <c r="B28" s="61"/>
      <c r="C28" s="61"/>
      <c r="D28" s="61"/>
      <c r="E28" s="61"/>
      <c r="F28" s="61"/>
      <c r="G28" s="62"/>
    </row>
    <row r="29" spans="1:7" x14ac:dyDescent="0.2">
      <c r="A29" s="191" t="s">
        <v>374</v>
      </c>
      <c r="B29" s="216"/>
      <c r="C29" s="216"/>
      <c r="D29" s="216"/>
      <c r="E29" s="216"/>
      <c r="F29" s="216"/>
      <c r="G29" s="218"/>
    </row>
    <row r="30" spans="1:7" x14ac:dyDescent="0.2">
      <c r="A30" s="191" t="s">
        <v>376</v>
      </c>
      <c r="B30" s="61"/>
      <c r="C30" s="61"/>
      <c r="D30" s="61"/>
      <c r="E30" s="61"/>
      <c r="F30" s="61"/>
      <c r="G30" s="62"/>
    </row>
    <row r="31" spans="1:7" x14ac:dyDescent="0.2">
      <c r="A31" s="191" t="s">
        <v>377</v>
      </c>
      <c r="B31" s="61"/>
      <c r="C31" s="61"/>
      <c r="D31" s="61"/>
      <c r="E31" s="61"/>
      <c r="F31" s="61"/>
      <c r="G31" s="62"/>
    </row>
    <row r="32" spans="1:7" x14ac:dyDescent="0.2">
      <c r="A32" s="191" t="s">
        <v>378</v>
      </c>
      <c r="B32" s="61"/>
      <c r="C32" s="61"/>
      <c r="D32" s="61"/>
      <c r="E32" s="61"/>
      <c r="F32" s="61"/>
      <c r="G32" s="62"/>
    </row>
    <row r="33" spans="1:7" x14ac:dyDescent="0.2">
      <c r="A33" s="191" t="s">
        <v>379</v>
      </c>
      <c r="B33" s="216"/>
      <c r="C33" s="216"/>
      <c r="D33" s="216"/>
      <c r="E33" s="216"/>
      <c r="F33" s="216"/>
      <c r="G33" s="218"/>
    </row>
    <row r="34" spans="1:7" x14ac:dyDescent="0.2">
      <c r="A34" s="191" t="s">
        <v>380</v>
      </c>
      <c r="B34" s="61"/>
      <c r="C34" s="61"/>
      <c r="D34" s="61"/>
      <c r="E34" s="61"/>
      <c r="F34" s="61"/>
      <c r="G34" s="62"/>
    </row>
    <row r="35" spans="1:7" x14ac:dyDescent="0.2">
      <c r="A35" s="193" t="s">
        <v>381</v>
      </c>
      <c r="B35" s="32"/>
      <c r="C35" s="32"/>
      <c r="D35" s="32"/>
      <c r="E35" s="32"/>
      <c r="F35" s="32"/>
      <c r="G35" s="51"/>
    </row>
    <row r="38" spans="1:7" x14ac:dyDescent="0.2">
      <c r="A38" s="229" t="s">
        <v>382</v>
      </c>
      <c r="B38" s="144" t="str">
        <f t="shared" ref="B38:G38" si="0">IF(B24=B35,"OK","MAL")</f>
        <v>OK</v>
      </c>
      <c r="C38" s="144" t="str">
        <f t="shared" si="0"/>
        <v>OK</v>
      </c>
      <c r="D38" s="144" t="str">
        <f t="shared" si="0"/>
        <v>OK</v>
      </c>
      <c r="E38" s="144" t="str">
        <f t="shared" si="0"/>
        <v>OK</v>
      </c>
      <c r="F38" s="144" t="str">
        <f t="shared" si="0"/>
        <v>OK</v>
      </c>
      <c r="G38" s="144" t="str">
        <f t="shared" si="0"/>
        <v>OK</v>
      </c>
    </row>
  </sheetData>
  <sheetProtection selectLockedCells="1" selectUnlockedCells="1"/>
  <conditionalFormatting sqref="B38">
    <cfRule type="cellIs" dxfId="31" priority="1" stopIfTrue="1" operator="equal">
      <formula>"OK"</formula>
    </cfRule>
    <cfRule type="cellIs" dxfId="30" priority="2" stopIfTrue="1" operator="equal">
      <formula>"MAL"</formula>
    </cfRule>
  </conditionalFormatting>
  <conditionalFormatting sqref="C38">
    <cfRule type="cellIs" dxfId="29" priority="3" stopIfTrue="1" operator="equal">
      <formula>"OK"</formula>
    </cfRule>
    <cfRule type="cellIs" dxfId="28" priority="4" stopIfTrue="1" operator="equal">
      <formula>"MAL"</formula>
    </cfRule>
  </conditionalFormatting>
  <conditionalFormatting sqref="D38">
    <cfRule type="cellIs" dxfId="27" priority="5" stopIfTrue="1" operator="equal">
      <formula>"OK"</formula>
    </cfRule>
    <cfRule type="cellIs" dxfId="26" priority="6" stopIfTrue="1" operator="equal">
      <formula>"MAL"</formula>
    </cfRule>
  </conditionalFormatting>
  <conditionalFormatting sqref="E38">
    <cfRule type="cellIs" dxfId="25" priority="7" stopIfTrue="1" operator="equal">
      <formula>"OK"</formula>
    </cfRule>
    <cfRule type="cellIs" dxfId="24" priority="8" stopIfTrue="1" operator="equal">
      <formula>"MAL"</formula>
    </cfRule>
  </conditionalFormatting>
  <conditionalFormatting sqref="F38">
    <cfRule type="cellIs" dxfId="23" priority="9" stopIfTrue="1" operator="equal">
      <formula>"OK"</formula>
    </cfRule>
    <cfRule type="cellIs" dxfId="22" priority="10" stopIfTrue="1" operator="equal">
      <formula>"MAL"</formula>
    </cfRule>
  </conditionalFormatting>
  <conditionalFormatting sqref="G38">
    <cfRule type="cellIs" dxfId="21" priority="11" stopIfTrue="1" operator="equal">
      <formula>"OK"</formula>
    </cfRule>
    <cfRule type="cellIs" dxfId="20" priority="12" stopIfTrue="1" operator="equal">
      <formula>"MAL"</formula>
    </cfRule>
  </conditionalFormatting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A10" zoomScale="90" zoomScaleNormal="90" workbookViewId="0">
      <selection activeCell="I35" sqref="I35"/>
    </sheetView>
  </sheetViews>
  <sheetFormatPr defaultColWidth="11.28515625" defaultRowHeight="12.75" x14ac:dyDescent="0.2"/>
  <cols>
    <col min="1" max="1" width="7.85546875" style="177" customWidth="1"/>
    <col min="2" max="6" width="14.7109375" style="177" customWidth="1"/>
    <col min="7" max="7" width="16" style="177" customWidth="1"/>
    <col min="8" max="9" width="14.7109375" style="177" customWidth="1"/>
    <col min="10" max="10" width="17.42578125" style="177" customWidth="1"/>
    <col min="11" max="11" width="14.7109375" style="177" customWidth="1"/>
    <col min="12" max="12" width="16.5703125" style="177" customWidth="1"/>
    <col min="13" max="13" width="18.42578125" style="177" customWidth="1"/>
    <col min="14" max="14" width="17.42578125" style="177" customWidth="1"/>
    <col min="15" max="15" width="17.28515625" style="177" customWidth="1"/>
    <col min="16" max="16384" width="11.28515625" style="177"/>
  </cols>
  <sheetData>
    <row r="1" spans="1:14" x14ac:dyDescent="0.2">
      <c r="A1" s="1" t="s">
        <v>0</v>
      </c>
      <c r="B1"/>
      <c r="C1"/>
      <c r="D1"/>
      <c r="G1" s="2">
        <f>InfoInicial!E1</f>
        <v>6</v>
      </c>
    </row>
    <row r="3" spans="1:14" ht="15.75" x14ac:dyDescent="0.25">
      <c r="A3" s="178" t="s">
        <v>383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80"/>
    </row>
    <row r="4" spans="1:14" ht="25.5" x14ac:dyDescent="0.2">
      <c r="A4" s="198" t="s">
        <v>238</v>
      </c>
      <c r="B4" s="199" t="s">
        <v>342</v>
      </c>
      <c r="C4" s="199" t="s">
        <v>384</v>
      </c>
      <c r="D4" s="199" t="s">
        <v>241</v>
      </c>
      <c r="E4" s="199" t="s">
        <v>5</v>
      </c>
      <c r="F4" s="199" t="s">
        <v>242</v>
      </c>
      <c r="G4" s="199" t="s">
        <v>243</v>
      </c>
      <c r="H4" s="199" t="s">
        <v>385</v>
      </c>
      <c r="I4" s="199" t="s">
        <v>386</v>
      </c>
      <c r="J4" s="199" t="s">
        <v>102</v>
      </c>
      <c r="K4" s="199" t="s">
        <v>245</v>
      </c>
      <c r="L4" s="199" t="s">
        <v>246</v>
      </c>
      <c r="M4" s="230" t="s">
        <v>247</v>
      </c>
      <c r="N4" s="231" t="s">
        <v>248</v>
      </c>
    </row>
    <row r="5" spans="1:14" x14ac:dyDescent="0.2">
      <c r="A5" s="232">
        <v>0</v>
      </c>
      <c r="B5" s="134"/>
      <c r="C5" s="59"/>
      <c r="D5" s="59"/>
      <c r="E5" s="59"/>
      <c r="F5" s="59"/>
      <c r="G5" s="59"/>
      <c r="H5" s="59"/>
      <c r="I5" s="59"/>
      <c r="J5" s="59"/>
      <c r="K5" s="59"/>
      <c r="L5" s="59"/>
      <c r="M5" s="135"/>
      <c r="N5" s="60"/>
    </row>
    <row r="6" spans="1:14" x14ac:dyDescent="0.2">
      <c r="A6" s="233">
        <v>1</v>
      </c>
      <c r="B6" s="125"/>
      <c r="C6" s="61"/>
      <c r="D6" s="61"/>
      <c r="E6" s="61"/>
      <c r="F6" s="61"/>
      <c r="G6" s="61"/>
      <c r="H6" s="61"/>
      <c r="I6" s="61"/>
      <c r="J6" s="61"/>
      <c r="K6" s="61"/>
      <c r="L6" s="61"/>
      <c r="M6" s="114"/>
      <c r="N6" s="62"/>
    </row>
    <row r="7" spans="1:14" x14ac:dyDescent="0.2">
      <c r="A7" s="233">
        <v>2</v>
      </c>
      <c r="B7" s="125"/>
      <c r="C7" s="61"/>
      <c r="D7" s="61"/>
      <c r="E7" s="61"/>
      <c r="F7" s="61"/>
      <c r="G7" s="61"/>
      <c r="H7" s="61"/>
      <c r="I7" s="61"/>
      <c r="J7" s="61"/>
      <c r="K7" s="61"/>
      <c r="L7" s="61"/>
      <c r="M7" s="114"/>
      <c r="N7" s="62"/>
    </row>
    <row r="8" spans="1:14" x14ac:dyDescent="0.2">
      <c r="A8" s="233">
        <v>3</v>
      </c>
      <c r="B8" s="125"/>
      <c r="C8" s="61"/>
      <c r="D8" s="61"/>
      <c r="E8" s="61"/>
      <c r="F8" s="61"/>
      <c r="G8" s="61"/>
      <c r="H8" s="61"/>
      <c r="I8" s="61"/>
      <c r="J8" s="61"/>
      <c r="K8" s="61"/>
      <c r="L8" s="61"/>
      <c r="M8" s="114"/>
      <c r="N8" s="62"/>
    </row>
    <row r="9" spans="1:14" x14ac:dyDescent="0.2">
      <c r="A9" s="233">
        <v>4</v>
      </c>
      <c r="B9" s="125"/>
      <c r="C9" s="61"/>
      <c r="D9" s="61"/>
      <c r="E9" s="61"/>
      <c r="F9" s="61"/>
      <c r="G9" s="61"/>
      <c r="H9" s="61"/>
      <c r="I9" s="61"/>
      <c r="J9" s="61"/>
      <c r="K9" s="61"/>
      <c r="L9" s="61"/>
      <c r="M9" s="114"/>
      <c r="N9" s="62"/>
    </row>
    <row r="10" spans="1:14" x14ac:dyDescent="0.2">
      <c r="A10" s="233">
        <v>5</v>
      </c>
      <c r="B10" s="125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114"/>
      <c r="N10" s="62"/>
    </row>
    <row r="11" spans="1:14" x14ac:dyDescent="0.2">
      <c r="A11" s="233"/>
      <c r="B11" s="127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115"/>
      <c r="N11" s="86"/>
    </row>
    <row r="12" spans="1:14" x14ac:dyDescent="0.2">
      <c r="A12" s="234" t="s">
        <v>249</v>
      </c>
      <c r="B12" s="130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116"/>
      <c r="N12" s="69"/>
    </row>
    <row r="14" spans="1:14" x14ac:dyDescent="0.2">
      <c r="C14" s="235" t="s">
        <v>250</v>
      </c>
      <c r="D14" s="139"/>
    </row>
    <row r="15" spans="1:14" x14ac:dyDescent="0.2">
      <c r="A15" s="185"/>
      <c r="C15" s="235" t="s">
        <v>251</v>
      </c>
      <c r="D15" s="140"/>
      <c r="E15" s="177" t="s">
        <v>252</v>
      </c>
      <c r="J15"/>
      <c r="K15"/>
    </row>
    <row r="16" spans="1:14" x14ac:dyDescent="0.2">
      <c r="C16" s="235" t="s">
        <v>387</v>
      </c>
      <c r="D16" s="141"/>
      <c r="J16" s="236"/>
      <c r="K16" s="236"/>
    </row>
    <row r="17" spans="1:15" x14ac:dyDescent="0.2">
      <c r="C17" s="235"/>
      <c r="D17" s="141"/>
      <c r="J17" s="237"/>
      <c r="K17" s="238"/>
    </row>
    <row r="18" spans="1:15" x14ac:dyDescent="0.2">
      <c r="A18" s="239"/>
      <c r="B18" s="240"/>
      <c r="C18" s="240"/>
      <c r="D18" s="240"/>
      <c r="E18" s="241"/>
      <c r="F18" s="242"/>
      <c r="G18" s="242"/>
      <c r="H18" s="242"/>
      <c r="I18" s="242"/>
      <c r="J18" s="237"/>
      <c r="K18" s="243"/>
      <c r="L18" s="242"/>
      <c r="M18" s="242"/>
      <c r="N18" s="242"/>
      <c r="O18" s="240"/>
    </row>
    <row r="19" spans="1:15" ht="15.75" x14ac:dyDescent="0.25">
      <c r="A19" s="244"/>
      <c r="B19" s="242"/>
      <c r="C19" s="245"/>
      <c r="D19" s="242"/>
      <c r="E19" s="246"/>
      <c r="F19" s="242"/>
      <c r="G19" s="242"/>
      <c r="H19" s="242"/>
      <c r="I19" s="242"/>
      <c r="J19" s="237"/>
      <c r="K19" s="238"/>
      <c r="L19" s="242"/>
      <c r="M19" s="242"/>
      <c r="N19" s="242"/>
    </row>
    <row r="20" spans="1:15" x14ac:dyDescent="0.2">
      <c r="J20" s="237"/>
      <c r="K20" s="238"/>
    </row>
    <row r="21" spans="1:15" x14ac:dyDescent="0.2">
      <c r="A21" s="247"/>
      <c r="J21" s="248"/>
      <c r="K21" s="238"/>
    </row>
    <row r="22" spans="1:15" ht="15.75" x14ac:dyDescent="0.25">
      <c r="A22" s="178" t="s">
        <v>388</v>
      </c>
      <c r="B22" s="179"/>
      <c r="C22" s="179"/>
      <c r="D22" s="179"/>
      <c r="E22" s="179"/>
      <c r="F22" s="179"/>
      <c r="G22" s="179"/>
      <c r="H22" s="180"/>
      <c r="J22"/>
      <c r="K22"/>
    </row>
    <row r="23" spans="1:15" ht="38.25" x14ac:dyDescent="0.2">
      <c r="A23" s="198" t="s">
        <v>238</v>
      </c>
      <c r="B23" s="199" t="s">
        <v>389</v>
      </c>
      <c r="C23" s="199" t="s">
        <v>243</v>
      </c>
      <c r="D23" s="199" t="s">
        <v>347</v>
      </c>
      <c r="E23" s="199" t="s">
        <v>390</v>
      </c>
      <c r="F23" s="199" t="s">
        <v>246</v>
      </c>
      <c r="G23" s="230" t="s">
        <v>247</v>
      </c>
      <c r="H23" s="231" t="s">
        <v>248</v>
      </c>
      <c r="K23" s="388" t="s">
        <v>254</v>
      </c>
      <c r="L23" s="388"/>
    </row>
    <row r="24" spans="1:15" x14ac:dyDescent="0.2">
      <c r="A24" s="232">
        <v>0</v>
      </c>
      <c r="B24" s="134"/>
      <c r="C24" s="59"/>
      <c r="D24" s="59"/>
      <c r="E24" s="59"/>
      <c r="F24" s="59"/>
      <c r="G24" s="135"/>
      <c r="H24" s="60"/>
      <c r="K24" s="391" t="s">
        <v>255</v>
      </c>
      <c r="L24" s="391"/>
    </row>
    <row r="25" spans="1:15" x14ac:dyDescent="0.2">
      <c r="A25" s="233">
        <v>1</v>
      </c>
      <c r="B25" s="125"/>
      <c r="C25" s="61"/>
      <c r="D25" s="61"/>
      <c r="E25" s="61"/>
      <c r="F25" s="61"/>
      <c r="G25" s="114"/>
      <c r="H25" s="62"/>
      <c r="K25" s="143" t="s">
        <v>102</v>
      </c>
      <c r="L25" s="144" t="str">
        <f>IF(B12=J12,"OK","MAL")</f>
        <v>OK</v>
      </c>
    </row>
    <row r="26" spans="1:15" x14ac:dyDescent="0.2">
      <c r="A26" s="233">
        <v>2</v>
      </c>
      <c r="B26" s="125"/>
      <c r="C26" s="61"/>
      <c r="D26" s="61"/>
      <c r="E26" s="61"/>
      <c r="F26" s="61"/>
      <c r="G26" s="114"/>
      <c r="H26" s="62"/>
      <c r="J26"/>
      <c r="K26" s="143" t="s">
        <v>256</v>
      </c>
      <c r="L26" s="144" t="str">
        <f>IF(D12=K12,"OK","MAL")</f>
        <v>OK</v>
      </c>
    </row>
    <row r="27" spans="1:15" x14ac:dyDescent="0.2">
      <c r="A27" s="233">
        <v>3</v>
      </c>
      <c r="B27" s="125"/>
      <c r="C27" s="61"/>
      <c r="D27" s="61"/>
      <c r="E27" s="61"/>
      <c r="F27" s="61"/>
      <c r="G27" s="114"/>
      <c r="H27" s="62"/>
      <c r="J27"/>
      <c r="K27" s="143" t="s">
        <v>257</v>
      </c>
      <c r="L27" s="144" t="str">
        <f>IF(C12=0,"OK","MAL")</f>
        <v>OK</v>
      </c>
    </row>
    <row r="28" spans="1:15" x14ac:dyDescent="0.2">
      <c r="A28" s="233">
        <v>4</v>
      </c>
      <c r="B28" s="125"/>
      <c r="C28" s="61"/>
      <c r="D28" s="61"/>
      <c r="E28" s="61"/>
      <c r="F28" s="61"/>
      <c r="G28" s="114"/>
      <c r="H28" s="62"/>
      <c r="J28"/>
      <c r="K28" s="143" t="s">
        <v>258</v>
      </c>
      <c r="L28" s="144" t="str">
        <f>IF((H12-F12-E12+I12)=M12,IF(M12=N10,"OK","MAL"),"MAL")</f>
        <v>OK</v>
      </c>
    </row>
    <row r="29" spans="1:15" x14ac:dyDescent="0.2">
      <c r="A29" s="233">
        <v>5</v>
      </c>
      <c r="B29" s="125"/>
      <c r="C29" s="61"/>
      <c r="D29" s="61"/>
      <c r="E29" s="61"/>
      <c r="F29" s="61"/>
      <c r="G29" s="114"/>
      <c r="H29" s="62"/>
      <c r="J29"/>
      <c r="K29" s="391" t="s">
        <v>391</v>
      </c>
      <c r="L29" s="391"/>
    </row>
    <row r="30" spans="1:15" x14ac:dyDescent="0.2">
      <c r="A30" s="233"/>
      <c r="B30" s="127"/>
      <c r="C30" s="85"/>
      <c r="D30" s="85"/>
      <c r="E30" s="85"/>
      <c r="F30" s="85"/>
      <c r="G30" s="115"/>
      <c r="H30" s="86"/>
      <c r="J30"/>
      <c r="K30" s="143" t="s">
        <v>392</v>
      </c>
      <c r="L30" s="144" t="str">
        <f>IF((H12-E12-F12)=G31,"OK","MAL")</f>
        <v>OK</v>
      </c>
    </row>
    <row r="31" spans="1:15" x14ac:dyDescent="0.2">
      <c r="A31" s="234" t="s">
        <v>249</v>
      </c>
      <c r="B31" s="130"/>
      <c r="C31" s="68"/>
      <c r="D31" s="68"/>
      <c r="E31" s="68"/>
      <c r="F31" s="68"/>
      <c r="G31" s="116"/>
      <c r="H31" s="69"/>
      <c r="K31" s="143" t="s">
        <v>393</v>
      </c>
      <c r="L31" s="144" t="str">
        <f>IF(('F- CFyU'!H28-'F- CFyU'!H7-'F- CFyU'!H8+'F- CFyU'!H14-'F- CFyU'!H25+'F- CFyU'!H15)='F- Form'!G31,"OK","MAL")</f>
        <v>OK</v>
      </c>
    </row>
    <row r="32" spans="1:15" x14ac:dyDescent="0.2">
      <c r="K32" s="143" t="s">
        <v>394</v>
      </c>
      <c r="L32" s="144" t="str">
        <f>IF('F-CRes'!G14=G31,"OK","MAL")</f>
        <v>OK</v>
      </c>
    </row>
    <row r="33" spans="3:12" x14ac:dyDescent="0.2">
      <c r="K33" s="143" t="s">
        <v>395</v>
      </c>
      <c r="L33" s="144" t="str">
        <f>IF(('F-Balance'!G33+'F-Balance'!G34)='F- Form'!G31,"OK","MAL")</f>
        <v>OK</v>
      </c>
    </row>
    <row r="34" spans="3:12" x14ac:dyDescent="0.2">
      <c r="C34" s="235" t="s">
        <v>250</v>
      </c>
      <c r="D34" s="139"/>
      <c r="E34" s="177" t="s">
        <v>396</v>
      </c>
      <c r="K34" s="143" t="s">
        <v>397</v>
      </c>
      <c r="L34" s="144" t="str">
        <f>IF(('F- CFyU'!H10-'F- CFyU'!H16-'F- CFyU'!H19-'F- CFyU'!H17)=G31,"OK","MAL")</f>
        <v>OK</v>
      </c>
    </row>
    <row r="35" spans="3:12" x14ac:dyDescent="0.2">
      <c r="C35" s="235" t="s">
        <v>251</v>
      </c>
      <c r="D35" s="140"/>
      <c r="E35" s="177" t="s">
        <v>398</v>
      </c>
      <c r="K35" s="391" t="s">
        <v>399</v>
      </c>
      <c r="L35" s="391"/>
    </row>
    <row r="36" spans="3:12" x14ac:dyDescent="0.2">
      <c r="C36" s="235" t="s">
        <v>400</v>
      </c>
      <c r="D36" s="141"/>
      <c r="K36" s="143" t="s">
        <v>401</v>
      </c>
      <c r="L36" s="144" t="str">
        <f>IF(SUM('F-Balance'!B35:G35)=SUM('F-Balance'!B24:G24),"OK","MAL")</f>
        <v>OK</v>
      </c>
    </row>
  </sheetData>
  <sheetProtection selectLockedCells="1" selectUnlockedCells="1"/>
  <mergeCells count="4">
    <mergeCell ref="K23:L23"/>
    <mergeCell ref="K24:L24"/>
    <mergeCell ref="K29:L29"/>
    <mergeCell ref="K35:L35"/>
  </mergeCells>
  <conditionalFormatting sqref="L25">
    <cfRule type="cellIs" dxfId="19" priority="1" stopIfTrue="1" operator="equal">
      <formula>"OK"</formula>
    </cfRule>
    <cfRule type="cellIs" dxfId="18" priority="2" stopIfTrue="1" operator="equal">
      <formula>"MAL"</formula>
    </cfRule>
  </conditionalFormatting>
  <conditionalFormatting sqref="L26">
    <cfRule type="cellIs" dxfId="17" priority="3" stopIfTrue="1" operator="equal">
      <formula>"OK"</formula>
    </cfRule>
    <cfRule type="cellIs" dxfId="16" priority="4" stopIfTrue="1" operator="equal">
      <formula>"MAL"</formula>
    </cfRule>
  </conditionalFormatting>
  <conditionalFormatting sqref="L27">
    <cfRule type="cellIs" dxfId="15" priority="5" stopIfTrue="1" operator="equal">
      <formula>"OK"</formula>
    </cfRule>
    <cfRule type="cellIs" dxfId="14" priority="6" stopIfTrue="1" operator="equal">
      <formula>"MAL"</formula>
    </cfRule>
  </conditionalFormatting>
  <conditionalFormatting sqref="L28">
    <cfRule type="cellIs" dxfId="13" priority="7" stopIfTrue="1" operator="equal">
      <formula>"OK"</formula>
    </cfRule>
    <cfRule type="cellIs" dxfId="12" priority="8" stopIfTrue="1" operator="equal">
      <formula>"MAL"</formula>
    </cfRule>
  </conditionalFormatting>
  <conditionalFormatting sqref="L30">
    <cfRule type="cellIs" dxfId="11" priority="9" stopIfTrue="1" operator="equal">
      <formula>"OK"</formula>
    </cfRule>
    <cfRule type="cellIs" dxfId="10" priority="10" stopIfTrue="1" operator="equal">
      <formula>"MAL"</formula>
    </cfRule>
  </conditionalFormatting>
  <conditionalFormatting sqref="L31">
    <cfRule type="cellIs" dxfId="9" priority="11" stopIfTrue="1" operator="equal">
      <formula>"OK"</formula>
    </cfRule>
    <cfRule type="cellIs" dxfId="8" priority="12" stopIfTrue="1" operator="equal">
      <formula>"MAL"</formula>
    </cfRule>
  </conditionalFormatting>
  <conditionalFormatting sqref="L32">
    <cfRule type="cellIs" dxfId="7" priority="13" stopIfTrue="1" operator="equal">
      <formula>"OK"</formula>
    </cfRule>
    <cfRule type="cellIs" dxfId="6" priority="14" stopIfTrue="1" operator="equal">
      <formula>"MAL"</formula>
    </cfRule>
  </conditionalFormatting>
  <conditionalFormatting sqref="L33">
    <cfRule type="cellIs" dxfId="5" priority="15" stopIfTrue="1" operator="equal">
      <formula>"OK"</formula>
    </cfRule>
    <cfRule type="cellIs" dxfId="4" priority="16" stopIfTrue="1" operator="equal">
      <formula>"MAL"</formula>
    </cfRule>
  </conditionalFormatting>
  <conditionalFormatting sqref="L34">
    <cfRule type="cellIs" dxfId="3" priority="17" stopIfTrue="1" operator="equal">
      <formula>"OK"</formula>
    </cfRule>
    <cfRule type="cellIs" dxfId="2" priority="18" stopIfTrue="1" operator="equal">
      <formula>"MAL"</formula>
    </cfRule>
  </conditionalFormatting>
  <conditionalFormatting sqref="L36">
    <cfRule type="cellIs" dxfId="1" priority="19" stopIfTrue="1" operator="equal">
      <formula>"OK"</formula>
    </cfRule>
    <cfRule type="cellIs" dxfId="0" priority="20" stopIfTrue="1" operator="equal">
      <formula>"MAL"</formula>
    </cfRule>
  </conditionalFormatting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zoomScale="90" zoomScaleNormal="90" workbookViewId="0"/>
  </sheetViews>
  <sheetFormatPr defaultColWidth="11.28515625" defaultRowHeight="12.75" x14ac:dyDescent="0.2"/>
  <cols>
    <col min="1" max="1" width="45.28515625" style="16" customWidth="1"/>
    <col min="2" max="2" width="16.140625" style="16" bestFit="1" customWidth="1"/>
    <col min="3" max="6" width="14.7109375" style="16" customWidth="1"/>
    <col min="7" max="7" width="16.140625" style="16" bestFit="1" customWidth="1"/>
    <col min="8" max="9" width="11.28515625" style="16"/>
    <col min="10" max="10" width="14.140625" style="16" bestFit="1" customWidth="1"/>
    <col min="11" max="16384" width="11.28515625" style="16"/>
  </cols>
  <sheetData>
    <row r="1" spans="1:5" x14ac:dyDescent="0.2">
      <c r="A1" s="1" t="s">
        <v>49</v>
      </c>
      <c r="B1"/>
      <c r="C1"/>
      <c r="D1"/>
      <c r="E1" s="2">
        <f>InfoInicial!E1</f>
        <v>6</v>
      </c>
    </row>
    <row r="3" spans="1:5" ht="15.75" x14ac:dyDescent="0.25">
      <c r="A3" s="17" t="s">
        <v>50</v>
      </c>
      <c r="B3" s="385" t="s">
        <v>51</v>
      </c>
      <c r="C3" s="385"/>
      <c r="D3" s="386" t="s">
        <v>52</v>
      </c>
      <c r="E3" s="386"/>
    </row>
    <row r="4" spans="1:5" ht="15.75" x14ac:dyDescent="0.25">
      <c r="A4" s="20"/>
      <c r="B4" s="21" t="s">
        <v>53</v>
      </c>
      <c r="C4" s="21" t="s">
        <v>54</v>
      </c>
      <c r="D4" s="21" t="s">
        <v>53</v>
      </c>
      <c r="E4" s="22" t="s">
        <v>54</v>
      </c>
    </row>
    <row r="5" spans="1:5" x14ac:dyDescent="0.2">
      <c r="A5" s="23"/>
      <c r="B5" s="24"/>
      <c r="C5" s="24"/>
      <c r="D5" s="24"/>
      <c r="E5" s="24"/>
    </row>
    <row r="6" spans="1:5" x14ac:dyDescent="0.2">
      <c r="A6" s="25" t="s">
        <v>55</v>
      </c>
      <c r="B6" s="26"/>
      <c r="C6" s="26"/>
      <c r="D6" s="26"/>
      <c r="E6" s="26"/>
    </row>
    <row r="7" spans="1:5" x14ac:dyDescent="0.2">
      <c r="A7" s="27" t="s">
        <v>56</v>
      </c>
      <c r="B7" s="28">
        <f>'Info-Inv AF y Am'!D9*InfoInicial!B27*InfoInicial!B32</f>
        <v>7080000</v>
      </c>
      <c r="C7" s="28"/>
      <c r="D7" s="28"/>
      <c r="E7" s="28"/>
    </row>
    <row r="8" spans="1:5" x14ac:dyDescent="0.2">
      <c r="A8" s="27" t="s">
        <v>57</v>
      </c>
      <c r="B8" s="28">
        <f>'Info-Inv AF y Am'!D11*InfoInicial!B27*InfoInicial!B32</f>
        <v>12390000</v>
      </c>
      <c r="C8" s="28"/>
      <c r="D8" s="28"/>
      <c r="E8" s="28"/>
    </row>
    <row r="9" spans="1:5" x14ac:dyDescent="0.2">
      <c r="A9" s="27" t="s">
        <v>58</v>
      </c>
      <c r="B9" s="28">
        <f>B8*'Info-Inv AF y Am'!D13</f>
        <v>9912000</v>
      </c>
      <c r="C9" s="28"/>
      <c r="D9" s="28"/>
      <c r="E9" s="28"/>
    </row>
    <row r="10" spans="1:5" x14ac:dyDescent="0.2">
      <c r="A10" s="27" t="s">
        <v>59</v>
      </c>
      <c r="B10" s="28"/>
      <c r="C10" s="28"/>
      <c r="D10" s="28"/>
      <c r="E10" s="28"/>
    </row>
    <row r="11" spans="1:5" x14ac:dyDescent="0.2">
      <c r="A11" s="27" t="s">
        <v>60</v>
      </c>
      <c r="B11" s="28"/>
      <c r="C11" s="28"/>
      <c r="D11" s="28"/>
      <c r="E11" s="28"/>
    </row>
    <row r="12" spans="1:5" x14ac:dyDescent="0.2">
      <c r="A12" s="27" t="s">
        <v>61</v>
      </c>
      <c r="B12" s="28">
        <f>SUM('Info-Inv AF y Am'!G17:G20)</f>
        <v>1209328</v>
      </c>
      <c r="C12" s="28"/>
      <c r="D12" s="28"/>
      <c r="E12" s="28"/>
    </row>
    <row r="13" spans="1:5" x14ac:dyDescent="0.2">
      <c r="A13" s="29" t="s">
        <v>62</v>
      </c>
      <c r="B13" s="28"/>
      <c r="C13" s="28"/>
      <c r="D13" s="28"/>
      <c r="E13" s="28"/>
    </row>
    <row r="14" spans="1:5" x14ac:dyDescent="0.2">
      <c r="A14" s="27" t="s">
        <v>63</v>
      </c>
      <c r="B14" s="28">
        <f>'Info-Inv AF y Am'!E26*SUM('Info-Inv AF y Am'!B17:B20)+B12*'Info-Inv AF y Am'!E25*'Info-Inv AF y Am'!G25</f>
        <v>42186.559999999998</v>
      </c>
      <c r="C14" s="28"/>
      <c r="D14" s="28"/>
      <c r="E14" s="28"/>
    </row>
    <row r="15" spans="1:5" x14ac:dyDescent="0.2">
      <c r="A15" s="27" t="s">
        <v>64</v>
      </c>
      <c r="B15" s="28">
        <f>'Info-Inv AF y Am'!I28</f>
        <v>35300</v>
      </c>
      <c r="C15" s="28"/>
      <c r="D15" s="28"/>
      <c r="E15" s="28"/>
    </row>
    <row r="16" spans="1:5" x14ac:dyDescent="0.2">
      <c r="A16" s="27" t="s">
        <v>65</v>
      </c>
      <c r="B16" s="28">
        <f>SUM('Info-Inv AF y Am'!I30:I63)</f>
        <v>1168876</v>
      </c>
      <c r="C16" s="28"/>
      <c r="D16" s="28"/>
      <c r="E16" s="28"/>
    </row>
    <row r="17" spans="1:5" x14ac:dyDescent="0.2">
      <c r="A17" s="27" t="s">
        <v>66</v>
      </c>
      <c r="B17" s="28"/>
      <c r="C17" s="28"/>
      <c r="D17" s="28"/>
      <c r="E17" s="28"/>
    </row>
    <row r="18" spans="1:5" x14ac:dyDescent="0.2">
      <c r="A18" s="27" t="s">
        <v>7</v>
      </c>
      <c r="B18" s="28">
        <f>SUM(B7:B17)*InfoInicial!B6</f>
        <v>2547015.2448</v>
      </c>
      <c r="C18" s="28"/>
      <c r="D18" s="28"/>
      <c r="E18" s="28"/>
    </row>
    <row r="19" spans="1:5" x14ac:dyDescent="0.2">
      <c r="A19" s="27"/>
      <c r="B19" s="28"/>
      <c r="C19" s="28"/>
      <c r="D19" s="28"/>
      <c r="E19" s="28"/>
    </row>
    <row r="20" spans="1:5" x14ac:dyDescent="0.2">
      <c r="A20" s="25" t="s">
        <v>67</v>
      </c>
      <c r="B20" s="28">
        <f>SUM(B7:B19)</f>
        <v>34384705.804799996</v>
      </c>
      <c r="C20" s="28"/>
      <c r="D20" s="28"/>
      <c r="E20" s="28"/>
    </row>
    <row r="21" spans="1:5" x14ac:dyDescent="0.2">
      <c r="A21" s="27"/>
      <c r="B21" s="30"/>
      <c r="C21" s="30"/>
      <c r="D21" s="30"/>
      <c r="E21" s="30"/>
    </row>
    <row r="22" spans="1:5" x14ac:dyDescent="0.2">
      <c r="A22" s="25" t="s">
        <v>68</v>
      </c>
      <c r="B22" s="30"/>
      <c r="C22" s="30"/>
      <c r="D22" s="30"/>
      <c r="E22" s="30"/>
    </row>
    <row r="23" spans="1:5" x14ac:dyDescent="0.2">
      <c r="A23" s="27" t="s">
        <v>69</v>
      </c>
      <c r="B23" s="28">
        <f>'Info-Inv AF y Am'!D68</f>
        <v>150000</v>
      </c>
      <c r="C23" s="28"/>
      <c r="D23" s="28"/>
      <c r="E23" s="28"/>
    </row>
    <row r="24" spans="1:5" x14ac:dyDescent="0.2">
      <c r="A24" s="27" t="s">
        <v>70</v>
      </c>
      <c r="B24" s="28">
        <f>'Info-Inv AF y Am'!D69</f>
        <v>100000</v>
      </c>
      <c r="C24" s="28"/>
      <c r="D24" s="28"/>
      <c r="E24" s="28"/>
    </row>
    <row r="25" spans="1:5" x14ac:dyDescent="0.2">
      <c r="A25" s="27" t="s">
        <v>71</v>
      </c>
      <c r="B25" s="28">
        <f>'Info-Inv AF y Am'!D70</f>
        <v>1000000</v>
      </c>
      <c r="C25" s="28"/>
      <c r="D25" s="28"/>
      <c r="E25" s="28"/>
    </row>
    <row r="26" spans="1:5" x14ac:dyDescent="0.2">
      <c r="A26" s="29" t="s">
        <v>72</v>
      </c>
      <c r="B26" s="28"/>
      <c r="C26" s="28">
        <f>'Info-Inv AF y Am'!E71</f>
        <v>150000</v>
      </c>
      <c r="D26" s="28"/>
      <c r="E26" s="28"/>
    </row>
    <row r="27" spans="1:5" x14ac:dyDescent="0.2">
      <c r="A27" s="29" t="s">
        <v>73</v>
      </c>
      <c r="B27" s="28">
        <f>'Info-Inv AF y Am'!D72</f>
        <v>0</v>
      </c>
      <c r="C27" s="28"/>
      <c r="D27" s="28"/>
      <c r="E27" s="28"/>
    </row>
    <row r="28" spans="1:5" x14ac:dyDescent="0.2">
      <c r="A28" s="29" t="s">
        <v>74</v>
      </c>
      <c r="B28" s="28">
        <f>'Info-Inv AF y Am'!D73</f>
        <v>0</v>
      </c>
      <c r="C28" s="28"/>
      <c r="D28" s="28"/>
      <c r="E28" s="28"/>
    </row>
    <row r="29" spans="1:5" x14ac:dyDescent="0.2">
      <c r="A29" s="27" t="s">
        <v>7</v>
      </c>
      <c r="B29" s="28">
        <f>SUM(B23:B28)*InfoInicial!B6</f>
        <v>100000</v>
      </c>
      <c r="C29" s="28">
        <f>SUM(C23:C28)*InfoInicial!B6</f>
        <v>12000</v>
      </c>
      <c r="D29" s="28"/>
      <c r="E29" s="28"/>
    </row>
    <row r="30" spans="1:5" x14ac:dyDescent="0.2">
      <c r="A30" s="27"/>
      <c r="B30" s="28"/>
      <c r="C30" s="28"/>
      <c r="D30" s="28"/>
      <c r="E30" s="28"/>
    </row>
    <row r="31" spans="1:5" x14ac:dyDescent="0.2">
      <c r="A31" s="25" t="s">
        <v>75</v>
      </c>
      <c r="B31" s="28">
        <f>SUM(B23:B29)</f>
        <v>1350000</v>
      </c>
      <c r="C31" s="28">
        <f>SUM(C24:C29)</f>
        <v>162000</v>
      </c>
      <c r="D31" s="28"/>
      <c r="E31" s="28"/>
    </row>
    <row r="32" spans="1:5" x14ac:dyDescent="0.2">
      <c r="A32" s="27"/>
      <c r="B32" s="30"/>
      <c r="C32" s="30"/>
      <c r="D32" s="30"/>
      <c r="E32" s="30"/>
    </row>
    <row r="33" spans="1:7" x14ac:dyDescent="0.2">
      <c r="A33" s="25" t="s">
        <v>76</v>
      </c>
      <c r="B33" s="28">
        <f>B31+B20</f>
        <v>35734705.804799996</v>
      </c>
      <c r="C33" s="28">
        <f>C31+C20</f>
        <v>162000</v>
      </c>
      <c r="D33" s="28"/>
      <c r="E33" s="28"/>
    </row>
    <row r="34" spans="1:7" x14ac:dyDescent="0.2">
      <c r="A34" s="25" t="s">
        <v>77</v>
      </c>
      <c r="B34" s="28">
        <f>B33*InfoInicial!B3</f>
        <v>7504288.2190079987</v>
      </c>
      <c r="C34" s="28">
        <f>C33*InfoInicial!C3</f>
        <v>0</v>
      </c>
      <c r="D34" s="28"/>
      <c r="E34" s="28"/>
    </row>
    <row r="35" spans="1:7" x14ac:dyDescent="0.2">
      <c r="A35" s="27"/>
      <c r="B35" s="30"/>
      <c r="C35" s="30"/>
      <c r="D35" s="30"/>
      <c r="E35" s="30"/>
    </row>
    <row r="36" spans="1:7" x14ac:dyDescent="0.2">
      <c r="A36" s="31" t="s">
        <v>78</v>
      </c>
      <c r="B36" s="32">
        <f>SUM(B33:B34)</f>
        <v>43238994.023807995</v>
      </c>
      <c r="C36" s="32">
        <f>SUM(C33:C34)</f>
        <v>162000</v>
      </c>
      <c r="D36" s="32"/>
      <c r="E36" s="32"/>
    </row>
    <row r="39" spans="1:7" x14ac:dyDescent="0.2">
      <c r="A39" s="33" t="s">
        <v>79</v>
      </c>
      <c r="B39" s="18" t="s">
        <v>80</v>
      </c>
      <c r="C39" s="18" t="s">
        <v>81</v>
      </c>
      <c r="D39" s="385" t="s">
        <v>82</v>
      </c>
      <c r="E39" s="385"/>
      <c r="F39" s="385"/>
      <c r="G39" s="34" t="s">
        <v>83</v>
      </c>
    </row>
    <row r="40" spans="1:7" x14ac:dyDescent="0.2">
      <c r="A40" s="35"/>
      <c r="B40" s="21" t="s">
        <v>84</v>
      </c>
      <c r="C40" s="21"/>
      <c r="D40" s="21" t="s">
        <v>85</v>
      </c>
      <c r="E40" s="21" t="s">
        <v>86</v>
      </c>
      <c r="F40" s="21"/>
      <c r="G40" s="36"/>
    </row>
    <row r="41" spans="1:7" x14ac:dyDescent="0.2">
      <c r="A41" s="37" t="s">
        <v>87</v>
      </c>
      <c r="B41" s="38"/>
      <c r="C41" s="38"/>
      <c r="D41" s="38"/>
      <c r="E41" s="38"/>
      <c r="F41" s="39"/>
      <c r="G41" s="40"/>
    </row>
    <row r="42" spans="1:7" x14ac:dyDescent="0.2">
      <c r="A42" s="41"/>
      <c r="B42" s="42"/>
      <c r="C42" s="42"/>
      <c r="D42" s="42"/>
      <c r="E42" s="42"/>
      <c r="F42" s="43"/>
      <c r="G42" s="44"/>
    </row>
    <row r="43" spans="1:7" x14ac:dyDescent="0.2">
      <c r="A43" s="27" t="s">
        <v>56</v>
      </c>
      <c r="B43" s="28">
        <f>B7</f>
        <v>7080000</v>
      </c>
      <c r="C43" s="28"/>
      <c r="D43" s="313">
        <f t="shared" ref="D43:E49" si="0">$B43*$C43</f>
        <v>0</v>
      </c>
      <c r="E43" s="313">
        <f t="shared" si="0"/>
        <v>0</v>
      </c>
      <c r="F43" s="313"/>
      <c r="G43" s="314">
        <f t="shared" ref="G43:G50" si="1">B43-3*D43-2*E43</f>
        <v>7080000</v>
      </c>
    </row>
    <row r="44" spans="1:7" x14ac:dyDescent="0.2">
      <c r="A44" s="27" t="s">
        <v>57</v>
      </c>
      <c r="B44" s="28">
        <f>B8</f>
        <v>12390000</v>
      </c>
      <c r="C44" s="312">
        <f>1/InfoInicial!B9</f>
        <v>3.3333333333333333E-2</v>
      </c>
      <c r="D44" s="313">
        <f t="shared" si="0"/>
        <v>413000</v>
      </c>
      <c r="E44" s="313">
        <f>$B44*$C44</f>
        <v>413000</v>
      </c>
      <c r="F44" s="313"/>
      <c r="G44" s="314">
        <f>B44-3*D44-2*E44</f>
        <v>10325000</v>
      </c>
    </row>
    <row r="45" spans="1:7" x14ac:dyDescent="0.2">
      <c r="A45" s="27" t="s">
        <v>58</v>
      </c>
      <c r="B45" s="28">
        <f>B9</f>
        <v>9912000</v>
      </c>
      <c r="C45" s="312">
        <f>1/InfoInicial!B10</f>
        <v>0.1</v>
      </c>
      <c r="D45" s="313">
        <f t="shared" si="0"/>
        <v>991200</v>
      </c>
      <c r="E45" s="313">
        <f t="shared" si="0"/>
        <v>991200</v>
      </c>
      <c r="F45" s="313"/>
      <c r="G45" s="314">
        <f t="shared" si="1"/>
        <v>4956000</v>
      </c>
    </row>
    <row r="46" spans="1:7" x14ac:dyDescent="0.2">
      <c r="A46" s="29" t="s">
        <v>59</v>
      </c>
      <c r="B46" s="28">
        <f>SUM(B11:B14)</f>
        <v>1251514.56</v>
      </c>
      <c r="C46" s="312">
        <f>1/InfoInicial!B11</f>
        <v>0.1</v>
      </c>
      <c r="D46" s="313">
        <f t="shared" si="0"/>
        <v>125151.45600000001</v>
      </c>
      <c r="E46" s="313">
        <f t="shared" si="0"/>
        <v>125151.45600000001</v>
      </c>
      <c r="F46" s="313"/>
      <c r="G46" s="314">
        <f t="shared" si="1"/>
        <v>625757.28</v>
      </c>
    </row>
    <row r="47" spans="1:7" x14ac:dyDescent="0.2">
      <c r="A47" s="29" t="s">
        <v>64</v>
      </c>
      <c r="B47" s="28">
        <f>B15</f>
        <v>35300</v>
      </c>
      <c r="C47" s="312">
        <f>1/InfoInicial!B12</f>
        <v>0.2</v>
      </c>
      <c r="D47" s="313">
        <f t="shared" si="0"/>
        <v>7060</v>
      </c>
      <c r="E47" s="313">
        <f t="shared" si="0"/>
        <v>7060</v>
      </c>
      <c r="F47" s="313"/>
      <c r="G47" s="314">
        <f t="shared" si="1"/>
        <v>0</v>
      </c>
    </row>
    <row r="48" spans="1:7" x14ac:dyDescent="0.2">
      <c r="A48" s="29" t="s">
        <v>65</v>
      </c>
      <c r="B48" s="28">
        <f>B16</f>
        <v>1168876</v>
      </c>
      <c r="C48" s="312">
        <f>1/InfoInicial!B13</f>
        <v>0.2</v>
      </c>
      <c r="D48" s="313">
        <f t="shared" si="0"/>
        <v>233775.2</v>
      </c>
      <c r="E48" s="313">
        <f t="shared" si="0"/>
        <v>233775.2</v>
      </c>
      <c r="F48" s="313"/>
      <c r="G48" s="314">
        <f t="shared" si="1"/>
        <v>0</v>
      </c>
    </row>
    <row r="49" spans="1:10" x14ac:dyDescent="0.2">
      <c r="A49" s="29" t="s">
        <v>7</v>
      </c>
      <c r="B49" s="28">
        <f>B18</f>
        <v>2547015.2448</v>
      </c>
      <c r="C49" s="312">
        <f>1/InfoInicial!B15</f>
        <v>0.2</v>
      </c>
      <c r="D49" s="313">
        <f t="shared" si="0"/>
        <v>509403.04896000004</v>
      </c>
      <c r="E49" s="313">
        <f t="shared" si="0"/>
        <v>509403.04896000004</v>
      </c>
      <c r="F49" s="313"/>
      <c r="G49" s="314">
        <f t="shared" si="1"/>
        <v>0</v>
      </c>
    </row>
    <row r="50" spans="1:10" x14ac:dyDescent="0.2">
      <c r="A50" s="29" t="s">
        <v>88</v>
      </c>
      <c r="B50" s="28"/>
      <c r="C50" s="28"/>
      <c r="D50" s="313">
        <v>0</v>
      </c>
      <c r="E50" s="313">
        <v>0</v>
      </c>
      <c r="F50" s="313"/>
      <c r="G50" s="314">
        <f t="shared" si="1"/>
        <v>0</v>
      </c>
      <c r="J50" s="371"/>
    </row>
    <row r="51" spans="1:10" x14ac:dyDescent="0.2">
      <c r="A51" s="46" t="s">
        <v>89</v>
      </c>
      <c r="B51" s="28">
        <f>SUM(B43:B50)</f>
        <v>34384705.804799996</v>
      </c>
      <c r="C51" s="28"/>
      <c r="D51" s="313">
        <f>SUM(D43:D50)</f>
        <v>2279589.7049599998</v>
      </c>
      <c r="E51" s="313">
        <f>SUM(E43:E50)</f>
        <v>2279589.7049599998</v>
      </c>
      <c r="F51" s="313"/>
      <c r="G51" s="314">
        <f>SUM(G43:G50)</f>
        <v>22986757.280000001</v>
      </c>
    </row>
    <row r="52" spans="1:10" x14ac:dyDescent="0.2">
      <c r="A52" s="25"/>
      <c r="B52" s="47"/>
      <c r="C52" s="48"/>
      <c r="D52" s="315"/>
      <c r="E52" s="315"/>
      <c r="F52" s="315"/>
      <c r="G52" s="316"/>
    </row>
    <row r="53" spans="1:10" x14ac:dyDescent="0.2">
      <c r="A53" s="46" t="s">
        <v>90</v>
      </c>
      <c r="B53" s="28">
        <f>SUM(B31:C31)</f>
        <v>1512000</v>
      </c>
      <c r="C53" s="312">
        <f>1/InfoInicial!B15</f>
        <v>0.2</v>
      </c>
      <c r="D53" s="313">
        <f>$B53*$C53</f>
        <v>302400</v>
      </c>
      <c r="E53" s="313">
        <f>$B53*$C53</f>
        <v>302400</v>
      </c>
      <c r="F53" s="313"/>
      <c r="G53" s="314"/>
    </row>
    <row r="54" spans="1:10" x14ac:dyDescent="0.2">
      <c r="A54" s="46"/>
      <c r="B54" s="28"/>
      <c r="C54" s="28"/>
      <c r="D54" s="313"/>
      <c r="E54" s="313"/>
      <c r="F54" s="313"/>
      <c r="G54" s="314"/>
    </row>
    <row r="55" spans="1:10" x14ac:dyDescent="0.2">
      <c r="A55" s="25"/>
      <c r="B55" s="26"/>
      <c r="C55" s="26"/>
      <c r="D55" s="317"/>
      <c r="E55" s="318"/>
      <c r="F55" s="318"/>
      <c r="G55" s="319"/>
      <c r="H55" s="50"/>
      <c r="I55" s="50"/>
    </row>
    <row r="56" spans="1:10" x14ac:dyDescent="0.2">
      <c r="A56" s="31" t="s">
        <v>91</v>
      </c>
      <c r="B56" s="32">
        <f>B51+B53</f>
        <v>35896705.804799996</v>
      </c>
      <c r="C56" s="32"/>
      <c r="D56" s="320">
        <f>D51+D53</f>
        <v>2581989.7049599998</v>
      </c>
      <c r="E56" s="320">
        <f>E51+E53</f>
        <v>2581989.7049599998</v>
      </c>
      <c r="F56" s="320"/>
      <c r="G56" s="320">
        <f>G51+G53</f>
        <v>22986757.280000001</v>
      </c>
      <c r="H56" s="52"/>
      <c r="I56" s="52"/>
    </row>
  </sheetData>
  <sheetProtection selectLockedCells="1" selectUnlockedCells="1"/>
  <mergeCells count="3">
    <mergeCell ref="B3:C3"/>
    <mergeCell ref="D3:E3"/>
    <mergeCell ref="D39:F39"/>
  </mergeCells>
  <pageMargins left="0.42986111111111114" right="0.75" top="0.55972222222222223" bottom="1.429861111111111" header="0.51180555555555551" footer="0.51180555555555551"/>
  <pageSetup paperSize="9" firstPageNumber="0" fitToHeight="3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Z80"/>
  <sheetViews>
    <sheetView workbookViewId="0"/>
  </sheetViews>
  <sheetFormatPr defaultColWidth="10.7109375" defaultRowHeight="12.75" x14ac:dyDescent="0.2"/>
  <cols>
    <col min="1" max="1" width="41.7109375" customWidth="1"/>
    <col min="2" max="2" width="9.140625" customWidth="1"/>
    <col min="3" max="3" width="27.28515625" customWidth="1"/>
    <col min="4" max="4" width="14.28515625" customWidth="1"/>
    <col min="5" max="5" width="12.28515625" bestFit="1" customWidth="1"/>
    <col min="6" max="6" width="10.85546875" customWidth="1"/>
    <col min="7" max="7" width="15.42578125" customWidth="1"/>
    <col min="8" max="8" width="10.7109375" customWidth="1"/>
    <col min="9" max="9" width="11.7109375" customWidth="1"/>
  </cols>
  <sheetData>
    <row r="4" spans="1:12" ht="15.75" x14ac:dyDescent="0.25">
      <c r="A4" s="249" t="s">
        <v>50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2" ht="15.75" x14ac:dyDescent="0.25">
      <c r="A5" s="249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12" x14ac:dyDescent="0.2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</row>
    <row r="7" spans="1:12" x14ac:dyDescent="0.2">
      <c r="A7" s="250" t="s">
        <v>55</v>
      </c>
      <c r="B7" s="104"/>
      <c r="C7" s="104"/>
      <c r="D7" s="104"/>
      <c r="E7" s="104"/>
      <c r="F7" s="104"/>
      <c r="G7" s="104"/>
      <c r="H7" s="104"/>
      <c r="I7" s="104"/>
      <c r="J7" s="104"/>
      <c r="K7" s="104" t="s">
        <v>402</v>
      </c>
      <c r="L7" s="104"/>
    </row>
    <row r="8" spans="1:12" x14ac:dyDescent="0.2">
      <c r="A8" s="250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</row>
    <row r="9" spans="1:12" x14ac:dyDescent="0.2">
      <c r="A9" s="251" t="s">
        <v>56</v>
      </c>
      <c r="B9" s="104"/>
      <c r="C9" s="104" t="s">
        <v>403</v>
      </c>
      <c r="D9" s="258">
        <v>400</v>
      </c>
      <c r="E9" s="104" t="s">
        <v>498</v>
      </c>
      <c r="F9" s="104"/>
      <c r="G9" s="104"/>
      <c r="H9" s="104"/>
      <c r="I9" s="104"/>
      <c r="J9" s="104"/>
      <c r="K9" s="257" t="s">
        <v>452</v>
      </c>
      <c r="L9" s="104"/>
    </row>
    <row r="10" spans="1:12" x14ac:dyDescent="0.2">
      <c r="A10" s="251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</row>
    <row r="11" spans="1:12" x14ac:dyDescent="0.2">
      <c r="A11" s="251" t="s">
        <v>57</v>
      </c>
      <c r="B11" s="104"/>
      <c r="C11" s="104" t="s">
        <v>403</v>
      </c>
      <c r="D11" s="258">
        <v>700</v>
      </c>
      <c r="E11" s="104"/>
      <c r="F11" s="104"/>
      <c r="G11" s="104"/>
      <c r="H11" s="104"/>
      <c r="I11" s="104"/>
      <c r="J11" s="104"/>
      <c r="K11" s="257" t="s">
        <v>451</v>
      </c>
      <c r="L11" s="104"/>
    </row>
    <row r="12" spans="1:12" x14ac:dyDescent="0.2">
      <c r="A12" s="251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</row>
    <row r="13" spans="1:12" x14ac:dyDescent="0.2">
      <c r="A13" s="251" t="s">
        <v>58</v>
      </c>
      <c r="B13" s="104"/>
      <c r="C13" s="104" t="s">
        <v>404</v>
      </c>
      <c r="D13" s="259">
        <v>0.8</v>
      </c>
      <c r="E13" s="104"/>
      <c r="F13" s="104"/>
      <c r="G13" s="104"/>
      <c r="H13" s="104"/>
      <c r="I13" s="104"/>
      <c r="J13" s="104"/>
      <c r="K13" s="104" t="s">
        <v>458</v>
      </c>
      <c r="L13" s="104"/>
    </row>
    <row r="14" spans="1:12" x14ac:dyDescent="0.2">
      <c r="A14" s="251"/>
      <c r="B14" s="104"/>
      <c r="C14" s="104"/>
      <c r="D14" s="252"/>
      <c r="E14" s="104"/>
      <c r="F14" s="104"/>
      <c r="G14" s="104"/>
      <c r="H14" s="104"/>
      <c r="I14" s="104"/>
      <c r="J14" s="104"/>
      <c r="K14" s="104"/>
      <c r="L14" s="104"/>
    </row>
    <row r="15" spans="1:12" x14ac:dyDescent="0.2">
      <c r="A15" s="251" t="s">
        <v>59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</row>
    <row r="16" spans="1:12" x14ac:dyDescent="0.2">
      <c r="A16" s="251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</row>
    <row r="17" spans="1:12" x14ac:dyDescent="0.2">
      <c r="A17" s="251" t="s">
        <v>61</v>
      </c>
      <c r="B17" s="104">
        <v>2</v>
      </c>
      <c r="C17" s="104" t="s">
        <v>453</v>
      </c>
      <c r="D17" s="261">
        <v>260000</v>
      </c>
      <c r="E17" s="104" t="s">
        <v>406</v>
      </c>
      <c r="F17" s="262" t="s">
        <v>158</v>
      </c>
      <c r="G17" s="262">
        <f>D17*B17</f>
        <v>520000</v>
      </c>
      <c r="H17" s="104"/>
      <c r="I17" s="252"/>
      <c r="J17" s="104"/>
      <c r="K17" s="104" t="s">
        <v>459</v>
      </c>
      <c r="L17" s="104"/>
    </row>
    <row r="18" spans="1:12" x14ac:dyDescent="0.2">
      <c r="A18" s="251"/>
      <c r="B18" s="104">
        <v>4</v>
      </c>
      <c r="C18" s="104" t="s">
        <v>454</v>
      </c>
      <c r="D18" s="261">
        <v>52332</v>
      </c>
      <c r="E18" s="104" t="s">
        <v>406</v>
      </c>
      <c r="F18" s="262" t="s">
        <v>158</v>
      </c>
      <c r="G18" s="262">
        <f t="shared" ref="G18:G20" si="0">D18*B18</f>
        <v>209328</v>
      </c>
      <c r="H18" s="104"/>
      <c r="I18" s="252"/>
      <c r="J18" s="104"/>
      <c r="K18" s="257" t="s">
        <v>457</v>
      </c>
      <c r="L18" s="104"/>
    </row>
    <row r="19" spans="1:12" x14ac:dyDescent="0.2">
      <c r="A19" s="251"/>
      <c r="B19" s="104">
        <v>2</v>
      </c>
      <c r="C19" s="104" t="s">
        <v>455</v>
      </c>
      <c r="D19" s="261">
        <v>20000</v>
      </c>
      <c r="E19" s="104" t="s">
        <v>406</v>
      </c>
      <c r="F19" s="262" t="s">
        <v>158</v>
      </c>
      <c r="G19" s="262">
        <f t="shared" si="0"/>
        <v>40000</v>
      </c>
      <c r="H19" s="104"/>
      <c r="I19" s="252"/>
      <c r="J19" s="104"/>
      <c r="K19" s="104" t="s">
        <v>459</v>
      </c>
      <c r="L19" s="104"/>
    </row>
    <row r="20" spans="1:12" x14ac:dyDescent="0.2">
      <c r="A20" s="251"/>
      <c r="B20" s="260">
        <v>2</v>
      </c>
      <c r="C20" s="104" t="s">
        <v>456</v>
      </c>
      <c r="D20" s="261">
        <v>220000</v>
      </c>
      <c r="E20" s="104" t="s">
        <v>406</v>
      </c>
      <c r="F20" s="262" t="s">
        <v>158</v>
      </c>
      <c r="G20" s="262">
        <f t="shared" si="0"/>
        <v>440000</v>
      </c>
      <c r="H20" s="104"/>
      <c r="I20" s="104"/>
      <c r="J20" s="104"/>
      <c r="K20" s="104" t="s">
        <v>459</v>
      </c>
      <c r="L20" s="104"/>
    </row>
    <row r="21" spans="1:12" x14ac:dyDescent="0.2">
      <c r="A21" s="251"/>
      <c r="B21" s="104"/>
      <c r="C21" s="104"/>
      <c r="D21" s="254"/>
      <c r="E21" s="104"/>
      <c r="F21" s="104"/>
      <c r="G21" s="104"/>
      <c r="H21" s="104"/>
      <c r="I21" s="104"/>
      <c r="J21" s="104"/>
      <c r="K21" s="104"/>
      <c r="L21" s="104"/>
    </row>
    <row r="22" spans="1:12" x14ac:dyDescent="0.2">
      <c r="A22" s="251"/>
      <c r="B22" s="104"/>
      <c r="C22" s="104"/>
      <c r="D22" s="254"/>
      <c r="E22" s="104"/>
      <c r="F22" s="104"/>
      <c r="G22" s="104"/>
      <c r="H22" s="104"/>
      <c r="I22" s="104"/>
      <c r="J22" s="104"/>
      <c r="K22" s="104"/>
      <c r="L22" s="104"/>
    </row>
    <row r="23" spans="1:12" x14ac:dyDescent="0.2">
      <c r="A23" s="251"/>
      <c r="B23" s="104"/>
      <c r="C23" s="104"/>
      <c r="D23" s="254"/>
      <c r="E23" s="104"/>
      <c r="F23" s="104"/>
      <c r="G23" s="104"/>
      <c r="H23" s="104"/>
      <c r="I23" s="104"/>
      <c r="J23" s="104"/>
      <c r="K23" s="104"/>
      <c r="L23" s="104"/>
    </row>
    <row r="24" spans="1:12" x14ac:dyDescent="0.2">
      <c r="A24" s="255"/>
      <c r="B24" s="104"/>
      <c r="C24" s="104"/>
      <c r="D24" s="252"/>
      <c r="E24" s="104"/>
      <c r="F24" s="104"/>
      <c r="G24" s="104"/>
      <c r="H24" s="104"/>
      <c r="I24" s="104"/>
      <c r="J24" s="104"/>
      <c r="K24" s="104"/>
      <c r="L24" s="104"/>
    </row>
    <row r="25" spans="1:12" x14ac:dyDescent="0.2">
      <c r="A25" s="251" t="s">
        <v>63</v>
      </c>
      <c r="B25" s="104"/>
      <c r="C25" s="104" t="s">
        <v>407</v>
      </c>
      <c r="D25" s="104" t="s">
        <v>408</v>
      </c>
      <c r="E25" s="252">
        <v>0.02</v>
      </c>
      <c r="F25" s="104" t="s">
        <v>409</v>
      </c>
      <c r="G25" s="252">
        <v>1</v>
      </c>
      <c r="H25" s="104" t="s">
        <v>410</v>
      </c>
      <c r="I25" s="252">
        <v>0</v>
      </c>
      <c r="J25" s="104"/>
      <c r="K25" s="104" t="s">
        <v>458</v>
      </c>
      <c r="L25" s="104"/>
    </row>
    <row r="26" spans="1:12" x14ac:dyDescent="0.2">
      <c r="A26" s="251"/>
      <c r="B26" s="104"/>
      <c r="C26" s="104" t="s">
        <v>411</v>
      </c>
      <c r="D26" s="104" t="s">
        <v>412</v>
      </c>
      <c r="E26" s="254">
        <v>1800</v>
      </c>
      <c r="F26" s="104"/>
      <c r="G26" s="104"/>
      <c r="H26" s="104"/>
      <c r="I26" s="104"/>
      <c r="J26" s="104"/>
      <c r="K26" s="257" t="s">
        <v>460</v>
      </c>
      <c r="L26" s="104"/>
    </row>
    <row r="27" spans="1:12" x14ac:dyDescent="0.2">
      <c r="A27" s="251"/>
      <c r="B27" s="104"/>
      <c r="C27" s="104"/>
      <c r="D27" s="104"/>
      <c r="E27" s="254"/>
      <c r="F27" s="104"/>
      <c r="G27" s="104"/>
      <c r="H27" s="104"/>
      <c r="I27" s="104"/>
      <c r="J27" s="104"/>
      <c r="K27" s="104"/>
      <c r="L27" s="104"/>
    </row>
    <row r="28" spans="1:12" x14ac:dyDescent="0.2">
      <c r="A28" s="251" t="s">
        <v>64</v>
      </c>
      <c r="B28" s="104"/>
      <c r="C28" s="104" t="s">
        <v>413</v>
      </c>
      <c r="D28" s="104" t="s">
        <v>414</v>
      </c>
      <c r="E28" s="104">
        <v>2</v>
      </c>
      <c r="F28" s="104" t="s">
        <v>412</v>
      </c>
      <c r="G28" s="261">
        <v>17650</v>
      </c>
      <c r="H28" s="104" t="s">
        <v>158</v>
      </c>
      <c r="I28" s="253">
        <f>E28*G28</f>
        <v>35300</v>
      </c>
      <c r="J28" s="104"/>
      <c r="K28" s="104" t="s">
        <v>461</v>
      </c>
      <c r="L28" s="104"/>
    </row>
    <row r="29" spans="1:12" x14ac:dyDescent="0.2">
      <c r="A29" s="251"/>
      <c r="B29" s="104"/>
      <c r="C29" s="104"/>
      <c r="D29" s="104"/>
      <c r="E29" s="104"/>
      <c r="F29" s="104"/>
      <c r="G29" s="253"/>
      <c r="H29" s="104"/>
      <c r="I29" s="253"/>
      <c r="J29" s="104"/>
      <c r="K29" s="104"/>
      <c r="L29" s="104"/>
    </row>
    <row r="30" spans="1:12" x14ac:dyDescent="0.2">
      <c r="A30" s="251" t="s">
        <v>65</v>
      </c>
      <c r="B30" s="104"/>
      <c r="C30" s="104" t="s">
        <v>415</v>
      </c>
      <c r="D30" s="104" t="s">
        <v>414</v>
      </c>
      <c r="E30" s="104">
        <v>7</v>
      </c>
      <c r="F30" s="104" t="s">
        <v>412</v>
      </c>
      <c r="G30" s="264">
        <v>130000</v>
      </c>
      <c r="H30" s="104" t="s">
        <v>158</v>
      </c>
      <c r="I30" s="253">
        <f t="shared" ref="I30:I63" si="1">E30*G30</f>
        <v>910000</v>
      </c>
      <c r="J30" s="104"/>
      <c r="K30" s="104" t="s">
        <v>462</v>
      </c>
      <c r="L30" s="104"/>
    </row>
    <row r="31" spans="1:12" x14ac:dyDescent="0.2">
      <c r="A31" s="251"/>
      <c r="B31" s="104"/>
      <c r="C31" s="104" t="s">
        <v>416</v>
      </c>
      <c r="D31" s="104" t="s">
        <v>414</v>
      </c>
      <c r="E31" s="104">
        <v>3</v>
      </c>
      <c r="F31" s="104" t="s">
        <v>412</v>
      </c>
      <c r="G31" s="264">
        <v>7300</v>
      </c>
      <c r="H31" s="104" t="s">
        <v>158</v>
      </c>
      <c r="I31" s="253">
        <f t="shared" si="1"/>
        <v>21900</v>
      </c>
      <c r="J31" s="104"/>
      <c r="K31" s="104" t="s">
        <v>463</v>
      </c>
      <c r="L31" s="104"/>
    </row>
    <row r="32" spans="1:12" x14ac:dyDescent="0.2">
      <c r="A32" s="251"/>
      <c r="B32" s="104"/>
      <c r="C32" s="104" t="s">
        <v>417</v>
      </c>
      <c r="D32" s="104" t="s">
        <v>414</v>
      </c>
      <c r="E32" s="104">
        <v>3</v>
      </c>
      <c r="F32" s="104" t="s">
        <v>412</v>
      </c>
      <c r="G32" s="264">
        <v>227</v>
      </c>
      <c r="H32" s="104" t="s">
        <v>158</v>
      </c>
      <c r="I32" s="253">
        <f t="shared" si="1"/>
        <v>681</v>
      </c>
      <c r="J32" s="104"/>
      <c r="K32" s="104" t="s">
        <v>464</v>
      </c>
      <c r="L32" s="104"/>
    </row>
    <row r="33" spans="1:26" x14ac:dyDescent="0.2">
      <c r="A33" s="251"/>
      <c r="B33" s="104"/>
      <c r="C33" s="104" t="s">
        <v>418</v>
      </c>
      <c r="D33" s="104" t="s">
        <v>414</v>
      </c>
      <c r="E33" s="104">
        <v>3</v>
      </c>
      <c r="F33" s="104" t="s">
        <v>412</v>
      </c>
      <c r="G33" s="264">
        <v>312</v>
      </c>
      <c r="H33" s="104" t="s">
        <v>158</v>
      </c>
      <c r="I33" s="253">
        <f t="shared" si="1"/>
        <v>936</v>
      </c>
      <c r="J33" s="104"/>
      <c r="K33" s="104" t="s">
        <v>465</v>
      </c>
      <c r="L33" s="104"/>
    </row>
    <row r="34" spans="1:26" x14ac:dyDescent="0.2">
      <c r="A34" s="251"/>
      <c r="B34" s="104"/>
      <c r="C34" s="104" t="s">
        <v>419</v>
      </c>
      <c r="D34" s="104" t="s">
        <v>414</v>
      </c>
      <c r="E34" s="104">
        <v>4</v>
      </c>
      <c r="F34" s="104" t="s">
        <v>412</v>
      </c>
      <c r="G34" s="264">
        <v>56</v>
      </c>
      <c r="H34" s="104" t="s">
        <v>158</v>
      </c>
      <c r="I34" s="253">
        <f t="shared" si="1"/>
        <v>224</v>
      </c>
      <c r="J34" s="104"/>
      <c r="K34" s="104" t="s">
        <v>466</v>
      </c>
      <c r="L34" s="104"/>
    </row>
    <row r="35" spans="1:26" x14ac:dyDescent="0.2">
      <c r="A35" s="251"/>
      <c r="B35" s="104"/>
      <c r="C35" s="104" t="s">
        <v>420</v>
      </c>
      <c r="D35" s="104" t="s">
        <v>414</v>
      </c>
      <c r="E35" s="104">
        <v>7</v>
      </c>
      <c r="F35" s="104" t="s">
        <v>412</v>
      </c>
      <c r="G35" s="264">
        <v>2990</v>
      </c>
      <c r="H35" s="104" t="s">
        <v>158</v>
      </c>
      <c r="I35" s="253">
        <f t="shared" si="1"/>
        <v>20930</v>
      </c>
      <c r="J35" s="104"/>
      <c r="K35" s="104" t="s">
        <v>467</v>
      </c>
      <c r="L35" s="104"/>
    </row>
    <row r="36" spans="1:26" x14ac:dyDescent="0.2">
      <c r="A36" s="251"/>
      <c r="B36" s="104"/>
      <c r="C36" s="104" t="s">
        <v>421</v>
      </c>
      <c r="D36" s="104" t="s">
        <v>414</v>
      </c>
      <c r="E36" s="104">
        <v>7</v>
      </c>
      <c r="F36" s="104" t="s">
        <v>412</v>
      </c>
      <c r="G36" s="264">
        <v>5047</v>
      </c>
      <c r="H36" s="104" t="s">
        <v>158</v>
      </c>
      <c r="I36" s="253">
        <f t="shared" si="1"/>
        <v>35329</v>
      </c>
      <c r="J36" s="104"/>
      <c r="K36" s="104" t="s">
        <v>468</v>
      </c>
      <c r="L36" s="104"/>
    </row>
    <row r="37" spans="1:26" x14ac:dyDescent="0.2">
      <c r="A37" s="251"/>
      <c r="B37" s="104"/>
      <c r="C37" s="104" t="s">
        <v>422</v>
      </c>
      <c r="D37" s="104" t="s">
        <v>414</v>
      </c>
      <c r="E37" s="104">
        <v>16</v>
      </c>
      <c r="F37" s="104" t="s">
        <v>412</v>
      </c>
      <c r="G37" s="264">
        <v>590</v>
      </c>
      <c r="H37" s="104" t="s">
        <v>158</v>
      </c>
      <c r="I37" s="253">
        <f t="shared" si="1"/>
        <v>9440</v>
      </c>
      <c r="J37" s="104"/>
      <c r="K37" s="104" t="s">
        <v>469</v>
      </c>
      <c r="L37" s="104"/>
    </row>
    <row r="38" spans="1:26" x14ac:dyDescent="0.2">
      <c r="A38" s="251"/>
      <c r="B38" s="104"/>
      <c r="C38" s="104" t="s">
        <v>423</v>
      </c>
      <c r="D38" s="104" t="s">
        <v>414</v>
      </c>
      <c r="E38" s="104">
        <v>1</v>
      </c>
      <c r="F38" s="104" t="s">
        <v>412</v>
      </c>
      <c r="G38" s="264">
        <v>4690</v>
      </c>
      <c r="H38" s="104" t="s">
        <v>158</v>
      </c>
      <c r="I38" s="253">
        <f t="shared" si="1"/>
        <v>4690</v>
      </c>
      <c r="J38" s="104"/>
      <c r="K38" s="104" t="s">
        <v>470</v>
      </c>
      <c r="L38" s="104"/>
    </row>
    <row r="39" spans="1:26" x14ac:dyDescent="0.2">
      <c r="A39" s="251"/>
      <c r="B39" s="104"/>
      <c r="C39" s="104" t="s">
        <v>424</v>
      </c>
      <c r="D39" s="104" t="s">
        <v>414</v>
      </c>
      <c r="E39" s="104">
        <v>2</v>
      </c>
      <c r="F39" s="104" t="s">
        <v>412</v>
      </c>
      <c r="G39" s="264">
        <v>500</v>
      </c>
      <c r="H39" s="104" t="s">
        <v>158</v>
      </c>
      <c r="I39" s="253">
        <f t="shared" si="1"/>
        <v>1000</v>
      </c>
      <c r="J39" s="104"/>
      <c r="K39" s="104" t="s">
        <v>471</v>
      </c>
      <c r="L39" s="104"/>
    </row>
    <row r="40" spans="1:26" x14ac:dyDescent="0.2">
      <c r="A40" s="251"/>
      <c r="B40" s="104"/>
      <c r="C40" s="104" t="s">
        <v>472</v>
      </c>
      <c r="D40" s="104" t="s">
        <v>414</v>
      </c>
      <c r="E40" s="104">
        <v>1</v>
      </c>
      <c r="F40" s="104" t="s">
        <v>412</v>
      </c>
      <c r="G40" s="264">
        <v>13999</v>
      </c>
      <c r="H40" s="104" t="s">
        <v>158</v>
      </c>
      <c r="I40" s="253">
        <f t="shared" si="1"/>
        <v>13999</v>
      </c>
      <c r="J40" s="104"/>
      <c r="K40" s="104" t="s">
        <v>473</v>
      </c>
      <c r="L40" s="104"/>
    </row>
    <row r="41" spans="1:26" x14ac:dyDescent="0.2">
      <c r="A41" s="251"/>
      <c r="B41" s="104"/>
      <c r="C41" s="104" t="s">
        <v>425</v>
      </c>
      <c r="D41" s="104" t="s">
        <v>414</v>
      </c>
      <c r="E41" s="104">
        <v>3</v>
      </c>
      <c r="F41" s="104" t="s">
        <v>412</v>
      </c>
      <c r="G41" s="264">
        <v>12000</v>
      </c>
      <c r="H41" s="104" t="s">
        <v>158</v>
      </c>
      <c r="I41" s="253">
        <f t="shared" si="1"/>
        <v>36000</v>
      </c>
      <c r="J41" s="104"/>
      <c r="K41" s="104" t="s">
        <v>474</v>
      </c>
      <c r="L41" s="104"/>
    </row>
    <row r="42" spans="1:26" x14ac:dyDescent="0.2">
      <c r="A42" s="251"/>
      <c r="B42" s="104"/>
      <c r="C42" s="104" t="s">
        <v>426</v>
      </c>
      <c r="D42" s="104" t="s">
        <v>414</v>
      </c>
      <c r="E42" s="104">
        <v>1</v>
      </c>
      <c r="F42" s="104" t="s">
        <v>412</v>
      </c>
      <c r="G42" s="264">
        <v>21999</v>
      </c>
      <c r="H42" s="104" t="s">
        <v>158</v>
      </c>
      <c r="I42" s="253">
        <f t="shared" si="1"/>
        <v>21999</v>
      </c>
      <c r="J42" s="104"/>
      <c r="K42" s="104" t="s">
        <v>488</v>
      </c>
      <c r="L42" s="104"/>
    </row>
    <row r="43" spans="1:26" x14ac:dyDescent="0.2">
      <c r="A43" s="251"/>
      <c r="B43" s="104"/>
      <c r="C43" s="104" t="s">
        <v>427</v>
      </c>
      <c r="D43" s="104" t="s">
        <v>414</v>
      </c>
      <c r="E43" s="104">
        <v>3</v>
      </c>
      <c r="F43" s="104" t="s">
        <v>412</v>
      </c>
      <c r="G43" s="264">
        <v>789</v>
      </c>
      <c r="H43" s="104" t="s">
        <v>158</v>
      </c>
      <c r="I43" s="253">
        <f t="shared" si="1"/>
        <v>2367</v>
      </c>
      <c r="J43" s="104"/>
      <c r="K43" s="104" t="s">
        <v>489</v>
      </c>
      <c r="L43" s="104"/>
    </row>
    <row r="44" spans="1:26" x14ac:dyDescent="0.2">
      <c r="A44" s="251"/>
      <c r="B44" s="104"/>
      <c r="C44" s="104" t="s">
        <v>428</v>
      </c>
      <c r="D44" s="104" t="s">
        <v>414</v>
      </c>
      <c r="E44" s="104">
        <v>3</v>
      </c>
      <c r="F44" s="104" t="s">
        <v>412</v>
      </c>
      <c r="G44" s="264">
        <v>389</v>
      </c>
      <c r="H44" s="104" t="s">
        <v>158</v>
      </c>
      <c r="I44" s="253">
        <f t="shared" si="1"/>
        <v>1167</v>
      </c>
      <c r="J44" s="104"/>
      <c r="K44" s="104" t="s">
        <v>490</v>
      </c>
      <c r="L44" s="104"/>
    </row>
    <row r="45" spans="1:26" x14ac:dyDescent="0.2">
      <c r="A45" s="251"/>
      <c r="B45" s="104"/>
      <c r="C45" s="104" t="s">
        <v>429</v>
      </c>
      <c r="D45" s="104" t="s">
        <v>414</v>
      </c>
      <c r="E45" s="104">
        <v>2</v>
      </c>
      <c r="F45" s="104" t="s">
        <v>412</v>
      </c>
      <c r="G45" s="264">
        <v>2099</v>
      </c>
      <c r="H45" s="104" t="s">
        <v>158</v>
      </c>
      <c r="I45" s="253">
        <f t="shared" si="1"/>
        <v>4198</v>
      </c>
      <c r="J45" s="104"/>
      <c r="K45" s="104" t="s">
        <v>494</v>
      </c>
      <c r="L45" s="104"/>
    </row>
    <row r="46" spans="1:26" x14ac:dyDescent="0.2">
      <c r="A46" s="251"/>
      <c r="B46" s="104"/>
      <c r="C46" s="104" t="s">
        <v>430</v>
      </c>
      <c r="D46" s="104" t="s">
        <v>414</v>
      </c>
      <c r="E46" s="104">
        <v>3</v>
      </c>
      <c r="F46" s="104" t="s">
        <v>412</v>
      </c>
      <c r="G46" s="264">
        <v>107</v>
      </c>
      <c r="H46" s="104" t="s">
        <v>158</v>
      </c>
      <c r="I46" s="253">
        <f t="shared" si="1"/>
        <v>321</v>
      </c>
      <c r="J46" s="104"/>
      <c r="K46" s="104" t="s">
        <v>491</v>
      </c>
      <c r="L46" s="104"/>
    </row>
    <row r="47" spans="1:26" x14ac:dyDescent="0.2">
      <c r="A47" s="251"/>
      <c r="B47" s="104"/>
      <c r="C47" s="104" t="s">
        <v>431</v>
      </c>
      <c r="D47" s="104" t="s">
        <v>414</v>
      </c>
      <c r="E47" s="104">
        <v>3</v>
      </c>
      <c r="F47" s="104" t="s">
        <v>412</v>
      </c>
      <c r="G47" s="264">
        <v>390</v>
      </c>
      <c r="H47" s="104" t="s">
        <v>158</v>
      </c>
      <c r="I47" s="253">
        <f t="shared" si="1"/>
        <v>1170</v>
      </c>
      <c r="J47" s="104"/>
      <c r="K47" s="104" t="s">
        <v>492</v>
      </c>
      <c r="L47" s="104"/>
      <c r="Z47" t="s">
        <v>493</v>
      </c>
    </row>
    <row r="48" spans="1:26" x14ac:dyDescent="0.2">
      <c r="A48" s="251"/>
      <c r="B48" s="104"/>
      <c r="C48" s="104" t="s">
        <v>432</v>
      </c>
      <c r="D48" s="104" t="s">
        <v>414</v>
      </c>
      <c r="E48" s="104">
        <v>3</v>
      </c>
      <c r="F48" s="104" t="s">
        <v>412</v>
      </c>
      <c r="G48" s="264">
        <v>234</v>
      </c>
      <c r="H48" s="104" t="s">
        <v>158</v>
      </c>
      <c r="I48" s="253">
        <f t="shared" si="1"/>
        <v>702</v>
      </c>
      <c r="J48" s="104"/>
      <c r="K48" s="104" t="s">
        <v>495</v>
      </c>
      <c r="L48" s="104"/>
    </row>
    <row r="49" spans="1:12" x14ac:dyDescent="0.2">
      <c r="A49" s="251"/>
      <c r="B49" s="104"/>
      <c r="C49" s="104" t="s">
        <v>433</v>
      </c>
      <c r="D49" s="104" t="s">
        <v>414</v>
      </c>
      <c r="E49" s="104">
        <v>1</v>
      </c>
      <c r="F49" s="104" t="s">
        <v>412</v>
      </c>
      <c r="G49" s="264">
        <v>4252</v>
      </c>
      <c r="H49" s="104" t="s">
        <v>158</v>
      </c>
      <c r="I49" s="253">
        <f t="shared" si="1"/>
        <v>4252</v>
      </c>
      <c r="J49" s="104"/>
      <c r="K49" s="104" t="s">
        <v>496</v>
      </c>
      <c r="L49" s="104"/>
    </row>
    <row r="50" spans="1:12" x14ac:dyDescent="0.2">
      <c r="A50" s="251"/>
      <c r="B50" s="104"/>
      <c r="C50" s="104" t="s">
        <v>434</v>
      </c>
      <c r="D50" s="104" t="s">
        <v>414</v>
      </c>
      <c r="E50" s="104">
        <v>2</v>
      </c>
      <c r="F50" s="104" t="s">
        <v>412</v>
      </c>
      <c r="G50" s="264">
        <v>500</v>
      </c>
      <c r="H50" s="104" t="s">
        <v>158</v>
      </c>
      <c r="I50" s="253">
        <f t="shared" si="1"/>
        <v>1000</v>
      </c>
      <c r="J50" s="104"/>
      <c r="K50" s="104" t="s">
        <v>497</v>
      </c>
      <c r="L50" s="104"/>
    </row>
    <row r="51" spans="1:12" x14ac:dyDescent="0.2">
      <c r="A51" s="251"/>
      <c r="B51" s="104"/>
      <c r="C51" s="104" t="s">
        <v>435</v>
      </c>
      <c r="D51" s="104" t="s">
        <v>414</v>
      </c>
      <c r="E51" s="104">
        <v>1</v>
      </c>
      <c r="F51" s="104" t="s">
        <v>412</v>
      </c>
      <c r="G51" s="264">
        <v>449</v>
      </c>
      <c r="H51" s="104" t="s">
        <v>158</v>
      </c>
      <c r="I51" s="253">
        <f t="shared" si="1"/>
        <v>449</v>
      </c>
      <c r="J51" s="104"/>
      <c r="K51" s="104" t="s">
        <v>436</v>
      </c>
      <c r="L51" s="104"/>
    </row>
    <row r="52" spans="1:12" x14ac:dyDescent="0.2">
      <c r="A52" s="251"/>
      <c r="B52" s="104"/>
      <c r="C52" s="104" t="s">
        <v>476</v>
      </c>
      <c r="D52" s="104" t="s">
        <v>414</v>
      </c>
      <c r="E52" s="104">
        <v>1</v>
      </c>
      <c r="F52" s="104" t="s">
        <v>412</v>
      </c>
      <c r="G52" s="264">
        <v>380</v>
      </c>
      <c r="H52" s="104" t="s">
        <v>158</v>
      </c>
      <c r="I52" s="253">
        <f t="shared" si="1"/>
        <v>380</v>
      </c>
      <c r="J52" s="104"/>
      <c r="K52" s="104" t="s">
        <v>475</v>
      </c>
      <c r="L52" s="104"/>
    </row>
    <row r="53" spans="1:12" x14ac:dyDescent="0.2">
      <c r="A53" s="251"/>
      <c r="B53" s="104"/>
      <c r="C53" s="104" t="s">
        <v>437</v>
      </c>
      <c r="D53" s="104" t="s">
        <v>414</v>
      </c>
      <c r="E53" s="104">
        <v>3</v>
      </c>
      <c r="F53" s="104" t="s">
        <v>412</v>
      </c>
      <c r="G53" s="264">
        <v>55</v>
      </c>
      <c r="H53" s="104" t="s">
        <v>158</v>
      </c>
      <c r="I53" s="253">
        <f t="shared" si="1"/>
        <v>165</v>
      </c>
      <c r="J53" s="104"/>
      <c r="K53" s="104" t="s">
        <v>477</v>
      </c>
      <c r="L53" s="104"/>
    </row>
    <row r="54" spans="1:12" x14ac:dyDescent="0.2">
      <c r="A54" s="251"/>
      <c r="B54" s="104"/>
      <c r="C54" s="104" t="s">
        <v>438</v>
      </c>
      <c r="D54" s="104" t="s">
        <v>414</v>
      </c>
      <c r="E54" s="104">
        <v>3</v>
      </c>
      <c r="F54" s="104" t="s">
        <v>412</v>
      </c>
      <c r="G54" s="264">
        <v>202</v>
      </c>
      <c r="H54" s="104" t="s">
        <v>158</v>
      </c>
      <c r="I54" s="253">
        <f t="shared" si="1"/>
        <v>606</v>
      </c>
      <c r="J54" s="104"/>
      <c r="K54" s="104" t="s">
        <v>478</v>
      </c>
      <c r="L54" s="104"/>
    </row>
    <row r="55" spans="1:12" x14ac:dyDescent="0.2">
      <c r="A55" s="251"/>
      <c r="B55" s="104"/>
      <c r="C55" s="104" t="s">
        <v>439</v>
      </c>
      <c r="D55" s="104" t="s">
        <v>414</v>
      </c>
      <c r="E55" s="104">
        <v>1</v>
      </c>
      <c r="F55" s="104" t="s">
        <v>412</v>
      </c>
      <c r="G55" s="264">
        <v>429</v>
      </c>
      <c r="H55" s="104" t="s">
        <v>158</v>
      </c>
      <c r="I55" s="253">
        <f t="shared" si="1"/>
        <v>429</v>
      </c>
      <c r="J55" s="104"/>
      <c r="K55" s="257" t="s">
        <v>479</v>
      </c>
      <c r="L55" s="104"/>
    </row>
    <row r="56" spans="1:12" x14ac:dyDescent="0.2">
      <c r="A56" s="251"/>
      <c r="B56" s="104"/>
      <c r="C56" s="104" t="s">
        <v>440</v>
      </c>
      <c r="D56" s="104" t="s">
        <v>414</v>
      </c>
      <c r="E56" s="104">
        <v>10</v>
      </c>
      <c r="F56" s="104" t="s">
        <v>412</v>
      </c>
      <c r="G56" s="264">
        <v>123</v>
      </c>
      <c r="H56" s="104" t="s">
        <v>158</v>
      </c>
      <c r="I56" s="253">
        <f t="shared" si="1"/>
        <v>1230</v>
      </c>
      <c r="J56" s="104"/>
      <c r="K56" s="257" t="s">
        <v>480</v>
      </c>
      <c r="L56" s="104"/>
    </row>
    <row r="57" spans="1:12" x14ac:dyDescent="0.2">
      <c r="A57" s="251"/>
      <c r="B57" s="104"/>
      <c r="C57" s="104" t="s">
        <v>441</v>
      </c>
      <c r="D57" s="104" t="s">
        <v>414</v>
      </c>
      <c r="E57" s="104">
        <v>14</v>
      </c>
      <c r="F57" s="104" t="s">
        <v>412</v>
      </c>
      <c r="G57" s="264">
        <v>66</v>
      </c>
      <c r="H57" s="104" t="s">
        <v>158</v>
      </c>
      <c r="I57" s="253">
        <f t="shared" si="1"/>
        <v>924</v>
      </c>
      <c r="J57" s="104"/>
      <c r="K57" s="263" t="s">
        <v>442</v>
      </c>
      <c r="L57" s="104"/>
    </row>
    <row r="58" spans="1:12" x14ac:dyDescent="0.2">
      <c r="A58" s="251"/>
      <c r="B58" s="104"/>
      <c r="C58" s="104" t="s">
        <v>481</v>
      </c>
      <c r="D58" s="104" t="s">
        <v>414</v>
      </c>
      <c r="E58" s="104">
        <v>1</v>
      </c>
      <c r="F58" s="104" t="s">
        <v>412</v>
      </c>
      <c r="G58" s="264">
        <v>16990</v>
      </c>
      <c r="H58" s="104" t="s">
        <v>158</v>
      </c>
      <c r="I58" s="253">
        <f t="shared" si="1"/>
        <v>16990</v>
      </c>
      <c r="J58" s="104"/>
      <c r="K58" s="104" t="s">
        <v>482</v>
      </c>
      <c r="L58" s="104"/>
    </row>
    <row r="59" spans="1:12" x14ac:dyDescent="0.2">
      <c r="A59" s="251"/>
      <c r="B59" s="104"/>
      <c r="C59" s="104" t="s">
        <v>443</v>
      </c>
      <c r="D59" s="104" t="s">
        <v>414</v>
      </c>
      <c r="E59" s="104">
        <v>10</v>
      </c>
      <c r="F59" s="104" t="s">
        <v>412</v>
      </c>
      <c r="G59" s="264">
        <v>1725</v>
      </c>
      <c r="H59" s="104" t="s">
        <v>158</v>
      </c>
      <c r="I59" s="253">
        <f t="shared" si="1"/>
        <v>17250</v>
      </c>
      <c r="J59" s="104"/>
      <c r="K59" s="257" t="s">
        <v>483</v>
      </c>
      <c r="L59" s="104"/>
    </row>
    <row r="60" spans="1:12" x14ac:dyDescent="0.2">
      <c r="A60" s="251"/>
      <c r="B60" s="104"/>
      <c r="C60" s="104" t="s">
        <v>444</v>
      </c>
      <c r="D60" s="104" t="s">
        <v>414</v>
      </c>
      <c r="E60" s="104">
        <v>3</v>
      </c>
      <c r="F60" s="104" t="s">
        <v>412</v>
      </c>
      <c r="G60" s="264">
        <v>3900</v>
      </c>
      <c r="H60" s="104" t="s">
        <v>158</v>
      </c>
      <c r="I60" s="253">
        <f t="shared" si="1"/>
        <v>11700</v>
      </c>
      <c r="J60" s="104"/>
      <c r="K60" s="104" t="s">
        <v>484</v>
      </c>
      <c r="L60" s="104"/>
    </row>
    <row r="61" spans="1:12" x14ac:dyDescent="0.2">
      <c r="A61" s="251"/>
      <c r="B61" s="104"/>
      <c r="C61" s="104" t="s">
        <v>445</v>
      </c>
      <c r="D61" s="104" t="s">
        <v>414</v>
      </c>
      <c r="E61" s="104">
        <v>1</v>
      </c>
      <c r="F61" s="104" t="s">
        <v>412</v>
      </c>
      <c r="G61" s="264">
        <v>2899</v>
      </c>
      <c r="H61" s="104" t="s">
        <v>158</v>
      </c>
      <c r="I61" s="253">
        <f t="shared" si="1"/>
        <v>2899</v>
      </c>
      <c r="J61" s="104"/>
      <c r="K61" s="104" t="s">
        <v>485</v>
      </c>
      <c r="L61" s="104"/>
    </row>
    <row r="62" spans="1:12" x14ac:dyDescent="0.2">
      <c r="A62" s="251"/>
      <c r="B62" s="104"/>
      <c r="C62" s="104" t="s">
        <v>446</v>
      </c>
      <c r="D62" s="104" t="s">
        <v>414</v>
      </c>
      <c r="E62" s="104">
        <v>1</v>
      </c>
      <c r="F62" s="104" t="s">
        <v>412</v>
      </c>
      <c r="G62" s="264">
        <v>18750</v>
      </c>
      <c r="H62" s="104" t="s">
        <v>158</v>
      </c>
      <c r="I62" s="253">
        <f t="shared" si="1"/>
        <v>18750</v>
      </c>
      <c r="J62" s="104"/>
      <c r="K62" s="104" t="s">
        <v>486</v>
      </c>
      <c r="L62" s="104"/>
    </row>
    <row r="63" spans="1:12" x14ac:dyDescent="0.2">
      <c r="A63" s="251"/>
      <c r="B63" s="104"/>
      <c r="C63" s="104" t="s">
        <v>447</v>
      </c>
      <c r="D63" s="104" t="s">
        <v>414</v>
      </c>
      <c r="E63" s="104">
        <v>1</v>
      </c>
      <c r="F63" s="104" t="s">
        <v>412</v>
      </c>
      <c r="G63" s="264">
        <v>4799</v>
      </c>
      <c r="H63" s="104" t="s">
        <v>158</v>
      </c>
      <c r="I63" s="253">
        <f t="shared" si="1"/>
        <v>4799</v>
      </c>
      <c r="J63" s="104"/>
      <c r="K63" s="104" t="s">
        <v>487</v>
      </c>
      <c r="L63" s="104"/>
    </row>
    <row r="64" spans="1:12" x14ac:dyDescent="0.2">
      <c r="A64" s="251"/>
      <c r="B64" s="104"/>
      <c r="C64" s="104"/>
      <c r="D64" s="104"/>
      <c r="E64" s="104"/>
      <c r="F64" s="104"/>
      <c r="G64" s="253"/>
      <c r="H64" s="104"/>
      <c r="I64" s="253"/>
      <c r="J64" s="104"/>
      <c r="K64" s="104"/>
      <c r="L64" s="104"/>
    </row>
    <row r="65" spans="1:12" x14ac:dyDescent="0.2">
      <c r="A65" s="251" t="s">
        <v>66</v>
      </c>
      <c r="B65" s="104"/>
      <c r="C65" s="104" t="s">
        <v>448</v>
      </c>
      <c r="D65" s="104">
        <v>0</v>
      </c>
      <c r="E65" s="104"/>
      <c r="F65" s="104"/>
      <c r="G65" s="104"/>
      <c r="H65" s="104"/>
      <c r="I65" s="253"/>
      <c r="J65" s="104"/>
      <c r="K65" s="104" t="s">
        <v>405</v>
      </c>
      <c r="L65" s="104"/>
    </row>
    <row r="66" spans="1:12" x14ac:dyDescent="0.2">
      <c r="A66" s="251"/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</row>
    <row r="67" spans="1:12" x14ac:dyDescent="0.2">
      <c r="A67" s="250" t="s">
        <v>68</v>
      </c>
      <c r="B67" s="104"/>
      <c r="C67" s="104"/>
      <c r="D67" s="104" t="s">
        <v>449</v>
      </c>
      <c r="E67" s="104" t="s">
        <v>450</v>
      </c>
      <c r="F67" s="104"/>
      <c r="G67" s="104"/>
      <c r="H67" s="104"/>
      <c r="I67" s="104"/>
      <c r="J67" s="104"/>
      <c r="K67" s="104"/>
      <c r="L67" s="104"/>
    </row>
    <row r="68" spans="1:12" x14ac:dyDescent="0.2">
      <c r="A68" s="354" t="s">
        <v>69</v>
      </c>
      <c r="B68" s="104"/>
      <c r="C68" s="104"/>
      <c r="D68" s="256">
        <v>150000</v>
      </c>
      <c r="E68" s="256"/>
      <c r="F68" s="104"/>
      <c r="G68" s="104"/>
      <c r="H68" s="104"/>
      <c r="I68" s="104"/>
      <c r="J68" s="104"/>
      <c r="K68" s="104" t="s">
        <v>405</v>
      </c>
      <c r="L68" s="104"/>
    </row>
    <row r="69" spans="1:12" x14ac:dyDescent="0.2">
      <c r="A69" s="354" t="s">
        <v>70</v>
      </c>
      <c r="B69" s="104"/>
      <c r="C69" s="104"/>
      <c r="D69" s="256">
        <v>100000</v>
      </c>
      <c r="E69" s="256"/>
      <c r="F69" s="104"/>
      <c r="G69" s="104"/>
      <c r="H69" s="104"/>
      <c r="I69" s="104"/>
      <c r="J69" s="104"/>
      <c r="K69" s="104" t="s">
        <v>405</v>
      </c>
      <c r="L69" s="104"/>
    </row>
    <row r="70" spans="1:12" x14ac:dyDescent="0.2">
      <c r="A70" s="354" t="s">
        <v>71</v>
      </c>
      <c r="B70" s="104"/>
      <c r="C70" s="104"/>
      <c r="D70" s="256">
        <v>1000000</v>
      </c>
      <c r="E70" s="256"/>
      <c r="F70" s="104"/>
      <c r="G70" s="104"/>
      <c r="H70" s="104"/>
      <c r="I70" s="104"/>
      <c r="J70" s="104"/>
      <c r="K70" s="104" t="s">
        <v>405</v>
      </c>
      <c r="L70" s="104"/>
    </row>
    <row r="71" spans="1:12" x14ac:dyDescent="0.2">
      <c r="A71" s="355" t="s">
        <v>72</v>
      </c>
      <c r="B71" s="104"/>
      <c r="C71" s="104"/>
      <c r="D71" s="256"/>
      <c r="E71" s="256">
        <v>150000</v>
      </c>
      <c r="F71" s="104"/>
      <c r="G71" s="104"/>
      <c r="H71" s="104"/>
      <c r="I71" s="104"/>
      <c r="J71" s="104"/>
      <c r="K71" s="104" t="s">
        <v>405</v>
      </c>
      <c r="L71" s="104"/>
    </row>
    <row r="72" spans="1:12" x14ac:dyDescent="0.2">
      <c r="A72" s="355" t="s">
        <v>73</v>
      </c>
      <c r="B72" s="104"/>
      <c r="C72" s="104"/>
      <c r="D72" s="256">
        <v>0</v>
      </c>
      <c r="E72" s="256"/>
      <c r="F72" s="104"/>
      <c r="G72" s="104"/>
      <c r="H72" s="104"/>
      <c r="I72" s="104"/>
      <c r="J72" s="104"/>
      <c r="K72" s="104" t="s">
        <v>405</v>
      </c>
      <c r="L72" s="104"/>
    </row>
    <row r="73" spans="1:12" x14ac:dyDescent="0.2">
      <c r="A73" s="355" t="s">
        <v>74</v>
      </c>
      <c r="B73" s="104"/>
      <c r="C73" s="104"/>
      <c r="D73" s="256">
        <v>0</v>
      </c>
      <c r="E73" s="256"/>
      <c r="F73" s="104"/>
      <c r="G73" s="104"/>
      <c r="H73" s="104"/>
      <c r="I73" s="104"/>
      <c r="J73" s="104"/>
      <c r="K73" s="104" t="s">
        <v>405</v>
      </c>
      <c r="L73" s="104"/>
    </row>
    <row r="74" spans="1:12" x14ac:dyDescent="0.2">
      <c r="A74" s="251"/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</row>
    <row r="75" spans="1:12" x14ac:dyDescent="0.2">
      <c r="A75" s="104"/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</row>
    <row r="76" spans="1:12" x14ac:dyDescent="0.2">
      <c r="A76" s="104"/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</row>
    <row r="77" spans="1:12" x14ac:dyDescent="0.2">
      <c r="A77" s="104"/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</row>
    <row r="78" spans="1:12" x14ac:dyDescent="0.2">
      <c r="A78" s="104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</row>
    <row r="79" spans="1:12" x14ac:dyDescent="0.2">
      <c r="A79" s="104"/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</row>
    <row r="80" spans="1:12" x14ac:dyDescent="0.2">
      <c r="A80" s="104"/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</row>
  </sheetData>
  <hyperlinks>
    <hyperlink ref="K11" r:id="rId1"/>
    <hyperlink ref="K9" r:id="rId2"/>
    <hyperlink ref="K18" r:id="rId3"/>
    <hyperlink ref="K26" r:id="rId4" location="position=45&amp;type=item&amp;tracking_id=a6815436-d273-46e8-a8e1-8b934b06ef8a" display="https://articulo.mercadolibre.com.ar/MLA-774284064-servicio-de-flete-y-embalaje-al-transporte-en-caba-_JM?quantity=1 - position=45&amp;type=item&amp;tracking_id=a6815436-d273-46e8-a8e1-8b934b06ef8a"/>
    <hyperlink ref="K57" r:id="rId5"/>
    <hyperlink ref="K55" r:id="rId6" location="position=1&amp;type=item&amp;tracking_id=50a0ec0e-2644-4d02-96f5-912fb7c84b68" display="https://articulo.mercadolibre.com.ar/MLA-620390390-toallas-intercaladas-papel-2500un-manos-bano-dispenser-_JM?quantity=1 - position=1&amp;type=item&amp;tracking_id=50a0ec0e-2644-4d02-96f5-912fb7c84b68"/>
    <hyperlink ref="K56" r:id="rId7" location="position=1&amp;type=item&amp;tracking_id=4423eded-cca0-4190-9918-bc97f0c21456" display="https://articulo.mercadolibre.com.ar/MLA-781929692-jabon-liquido-para-manos-lux-rosas-francesas-250ml-_JM?quantity=1 - position=1&amp;type=item&amp;tracking_id=4423eded-cca0-4190-9918-bc97f0c21456"/>
    <hyperlink ref="K59" r:id="rId8" location="position=1&amp;type=item&amp;tracking_id=265a7a61-e087-4a99-afb8-c1084f72f42c" display="https://articulo.mercadolibre.com.ar/MLA-660671089-estanteria-metalica-90x30x200-crefuerzo-30kg-cestante-_JM?quantity=1&amp;variation=42422133464 - position=1&amp;type=item&amp;tracking_id=265a7a61-e087-4a99-afb8-c1084f72f42c"/>
  </hyperlinks>
  <pageMargins left="0.7" right="0.7" top="0.75" bottom="0.75" header="0.3" footer="0.3"/>
  <pageSetup orientation="portrait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43"/>
  <sheetViews>
    <sheetView zoomScale="90" zoomScaleNormal="90" workbookViewId="0"/>
  </sheetViews>
  <sheetFormatPr defaultColWidth="11.28515625" defaultRowHeight="12.75" x14ac:dyDescent="0.2"/>
  <cols>
    <col min="1" max="1" width="40.85546875" style="16" customWidth="1"/>
    <col min="2" max="2" width="15.7109375" style="16" customWidth="1"/>
    <col min="3" max="3" width="16.140625" style="16" customWidth="1"/>
    <col min="4" max="6" width="16.140625" style="16" bestFit="1" customWidth="1"/>
    <col min="7" max="7" width="17.28515625" style="16" customWidth="1"/>
    <col min="8" max="8" width="11.28515625" style="16"/>
    <col min="9" max="9" width="16.7109375" style="16" bestFit="1" customWidth="1"/>
    <col min="10" max="11" width="16.140625" style="16" bestFit="1" customWidth="1"/>
    <col min="12" max="12" width="13.28515625" style="16" bestFit="1" customWidth="1"/>
    <col min="13" max="16384" width="11.28515625" style="16"/>
  </cols>
  <sheetData>
    <row r="3" spans="1:6" x14ac:dyDescent="0.2">
      <c r="A3" s="1" t="s">
        <v>0</v>
      </c>
      <c r="B3"/>
      <c r="C3"/>
      <c r="D3"/>
      <c r="E3" s="2">
        <f>InfoInicial!E1</f>
        <v>6</v>
      </c>
    </row>
    <row r="4" spans="1:6" ht="15.75" x14ac:dyDescent="0.25">
      <c r="A4" s="53" t="s">
        <v>92</v>
      </c>
      <c r="B4" s="54"/>
      <c r="C4" s="54"/>
      <c r="D4" s="54"/>
      <c r="E4" s="54"/>
      <c r="F4" s="55"/>
    </row>
    <row r="5" spans="1:6" x14ac:dyDescent="0.2">
      <c r="A5" s="56"/>
      <c r="B5" s="57" t="s">
        <v>93</v>
      </c>
      <c r="C5" s="57"/>
      <c r="D5" s="57"/>
      <c r="E5" s="57"/>
      <c r="F5" s="58"/>
    </row>
    <row r="6" spans="1:6" ht="13.5" thickBot="1" x14ac:dyDescent="0.25">
      <c r="A6" s="56" t="s">
        <v>94</v>
      </c>
      <c r="B6" s="21" t="s">
        <v>54</v>
      </c>
      <c r="C6" s="21" t="s">
        <v>95</v>
      </c>
      <c r="D6" s="21" t="s">
        <v>96</v>
      </c>
      <c r="E6" s="21" t="s">
        <v>97</v>
      </c>
      <c r="F6" s="22" t="s">
        <v>98</v>
      </c>
    </row>
    <row r="7" spans="1:6" ht="13.5" thickTop="1" x14ac:dyDescent="0.2">
      <c r="A7" s="23" t="s">
        <v>99</v>
      </c>
      <c r="B7" s="59">
        <f>'Info-Costos'!B185*'Info-InvAT'!D13</f>
        <v>32794495.5</v>
      </c>
      <c r="C7" s="59">
        <f>'Info-Costos'!$B$186*'Info-InvAT'!$D$13</f>
        <v>34447764</v>
      </c>
      <c r="D7" s="59">
        <f>'Info-Costos'!$B$186*'Info-InvAT'!$D$13</f>
        <v>34447764</v>
      </c>
      <c r="E7" s="59">
        <f>'Info-Costos'!$B$186*'Info-InvAT'!$D$13</f>
        <v>34447764</v>
      </c>
      <c r="F7" s="84">
        <f>'Info-Costos'!$B$186*'Info-InvAT'!$D$13</f>
        <v>34447764</v>
      </c>
    </row>
    <row r="8" spans="1:6" x14ac:dyDescent="0.2">
      <c r="A8" s="27" t="s">
        <v>100</v>
      </c>
      <c r="B8" s="61">
        <f>'Info-Costos'!F17</f>
        <v>5399040</v>
      </c>
      <c r="C8" s="61">
        <f>'Info-Costos'!$F$16</f>
        <v>5683200</v>
      </c>
      <c r="D8" s="61">
        <f>'Info-Costos'!$F$16</f>
        <v>5683200</v>
      </c>
      <c r="E8" s="61">
        <f>'Info-Costos'!$F$16</f>
        <v>5683200</v>
      </c>
      <c r="F8" s="62">
        <f>'Info-Costos'!$F$16</f>
        <v>5683200</v>
      </c>
    </row>
    <row r="9" spans="1:6" x14ac:dyDescent="0.2">
      <c r="A9" s="27" t="s">
        <v>101</v>
      </c>
      <c r="B9" s="61"/>
      <c r="C9" s="61"/>
      <c r="D9" s="61"/>
      <c r="E9" s="61"/>
      <c r="F9" s="45"/>
    </row>
    <row r="10" spans="1:6" x14ac:dyDescent="0.2">
      <c r="A10" s="27" t="s">
        <v>102</v>
      </c>
      <c r="B10" s="61">
        <f>'E-Inv AF y Am'!D56*0.8</f>
        <v>2065591.763968</v>
      </c>
      <c r="C10" s="61">
        <f>'E-Inv AF y Am'!D56*0.8</f>
        <v>2065591.763968</v>
      </c>
      <c r="D10" s="61">
        <f>'E-Inv AF y Am'!D56*0.8</f>
        <v>2065591.763968</v>
      </c>
      <c r="E10" s="61">
        <f>'E-Inv AF y Am'!E56*0.8</f>
        <v>2065591.763968</v>
      </c>
      <c r="F10" s="62">
        <f>'E-Inv AF y Am'!E56*0.8</f>
        <v>2065591.763968</v>
      </c>
    </row>
    <row r="11" spans="1:6" x14ac:dyDescent="0.2">
      <c r="A11" s="27" t="s">
        <v>103</v>
      </c>
      <c r="B11" s="61">
        <f>'Info-Costos'!E21</f>
        <v>759240</v>
      </c>
      <c r="C11" s="61">
        <f>'Info-Costos'!E20</f>
        <v>799200</v>
      </c>
      <c r="D11" s="61">
        <f>'Info-Costos'!E20</f>
        <v>799200</v>
      </c>
      <c r="E11" s="61">
        <f>'Info-Costos'!E20</f>
        <v>799200</v>
      </c>
      <c r="F11" s="62">
        <f>'Info-Costos'!E20</f>
        <v>799200</v>
      </c>
    </row>
    <row r="12" spans="1:6" x14ac:dyDescent="0.2">
      <c r="A12" s="27" t="s">
        <v>104</v>
      </c>
      <c r="B12" s="61">
        <f>'Info-Costos'!F126</f>
        <v>989177.85294303996</v>
      </c>
      <c r="C12" s="61">
        <f>'Info-Costos'!G126</f>
        <v>1041239.8452032</v>
      </c>
      <c r="D12" s="61">
        <f>'Info-Costos'!G126</f>
        <v>1041239.8452032</v>
      </c>
      <c r="E12" s="61">
        <f>'Info-Costos'!H126</f>
        <v>1043298.7484992</v>
      </c>
      <c r="F12" s="62">
        <f>'Info-Costos'!H126</f>
        <v>1043298.7484992</v>
      </c>
    </row>
    <row r="13" spans="1:6" x14ac:dyDescent="0.2">
      <c r="A13" s="27" t="s">
        <v>105</v>
      </c>
      <c r="B13" s="61">
        <f>'Info-Costos'!B58</f>
        <v>187251.93711</v>
      </c>
      <c r="C13" s="61">
        <f>'Info-Costos'!C52</f>
        <v>208057.70790000001</v>
      </c>
      <c r="D13" s="61">
        <f>'Info-Costos'!C52</f>
        <v>208057.70790000001</v>
      </c>
      <c r="E13" s="61">
        <f>'Info-Costos'!C52</f>
        <v>208057.70790000001</v>
      </c>
      <c r="F13" s="62">
        <f>'Info-Costos'!C52</f>
        <v>208057.70790000001</v>
      </c>
    </row>
    <row r="14" spans="1:6" x14ac:dyDescent="0.2">
      <c r="A14" s="27" t="s">
        <v>106</v>
      </c>
      <c r="B14" s="61" t="s">
        <v>693</v>
      </c>
      <c r="C14" s="61" t="s">
        <v>693</v>
      </c>
      <c r="D14" s="61" t="s">
        <v>693</v>
      </c>
      <c r="E14" s="61" t="s">
        <v>693</v>
      </c>
      <c r="F14" s="62" t="s">
        <v>693</v>
      </c>
    </row>
    <row r="15" spans="1:6" x14ac:dyDescent="0.2">
      <c r="A15" s="27" t="s">
        <v>107</v>
      </c>
      <c r="B15" s="61">
        <f>'Info-Costos'!F152</f>
        <v>315414</v>
      </c>
      <c r="C15" s="61">
        <f>'Info-Costos'!G152</f>
        <v>315414</v>
      </c>
      <c r="D15" s="61">
        <f>'Info-Costos'!G152</f>
        <v>315414</v>
      </c>
      <c r="E15" s="61">
        <f>'Info-Costos'!G152</f>
        <v>315414</v>
      </c>
      <c r="F15" s="62">
        <f>'Info-Costos'!G152</f>
        <v>315414</v>
      </c>
    </row>
    <row r="16" spans="1:6" x14ac:dyDescent="0.2">
      <c r="A16" s="27" t="s">
        <v>7</v>
      </c>
      <c r="B16" s="61">
        <f>'Info-Costos'!E166</f>
        <v>1487857.3868907364</v>
      </c>
      <c r="C16" s="61">
        <f>'Info-Costos'!F166</f>
        <v>1559616.3560974922</v>
      </c>
      <c r="D16" s="61">
        <f>'Info-Costos'!F166</f>
        <v>1559616.3560974922</v>
      </c>
      <c r="E16" s="61">
        <f>'Info-Costos'!F166</f>
        <v>1559616.3560974922</v>
      </c>
      <c r="F16" s="62">
        <f>'Info-Costos'!F166</f>
        <v>1559616.3560974922</v>
      </c>
    </row>
    <row r="17" spans="1:7" x14ac:dyDescent="0.2">
      <c r="A17" s="25" t="s">
        <v>108</v>
      </c>
      <c r="B17" s="63">
        <f>SUM(B7:B16)</f>
        <v>43998068.440911777</v>
      </c>
      <c r="C17" s="63">
        <f>SUM(C7:C16)</f>
        <v>46120083.673168689</v>
      </c>
      <c r="D17" s="63">
        <f>SUM(D7:D16)</f>
        <v>46120083.673168689</v>
      </c>
      <c r="E17" s="63">
        <f>SUM(E7:E16)</f>
        <v>46122142.57646469</v>
      </c>
      <c r="F17" s="353">
        <f>SUM(F7:F16)</f>
        <v>46122142.57646469</v>
      </c>
    </row>
    <row r="18" spans="1:7" x14ac:dyDescent="0.2">
      <c r="A18" s="64"/>
      <c r="B18" s="65"/>
      <c r="C18" s="65"/>
      <c r="D18" s="65"/>
      <c r="E18" s="65"/>
      <c r="F18" s="66"/>
    </row>
    <row r="19" spans="1:7" x14ac:dyDescent="0.2">
      <c r="A19" s="67" t="s">
        <v>109</v>
      </c>
      <c r="B19" s="374">
        <f>(B10+B11+B13*'Info-Costos'!$F$52+B15+0.5*B16)/B17</f>
        <v>9.095732542481666E-2</v>
      </c>
      <c r="C19" s="374">
        <f>(C10+C11+C13*'Info-Costos'!$F$52+C15+0.5*C16)/C17</f>
        <v>8.8700444251290367E-2</v>
      </c>
      <c r="D19" s="374">
        <f>(D10+D11+D13*'Info-Costos'!$F$52+D15+0.5*D16)/D17</f>
        <v>8.8700444251290367E-2</v>
      </c>
      <c r="E19" s="374">
        <f>(E10+E11+E13*'Info-Costos'!$F$52+E15+0.5*E16)/E17</f>
        <v>8.8696484642589987E-2</v>
      </c>
      <c r="F19" s="375">
        <f>(F10+F11+F13*'Info-Costos'!$F$52+F15+0.5*F16)/F17</f>
        <v>8.8696484642589987E-2</v>
      </c>
      <c r="G19" s="16" t="s">
        <v>694</v>
      </c>
    </row>
    <row r="20" spans="1:7" x14ac:dyDescent="0.2">
      <c r="A20" s="35" t="s">
        <v>110</v>
      </c>
      <c r="B20" s="376">
        <f>(B7+B8+B12+B13*'Info-Costos'!$F$55+0.5*B16)/B17</f>
        <v>0.90746351967720618</v>
      </c>
      <c r="C20" s="376">
        <f>(C7+C8+C12+C13*'Info-Costos'!$F$55+0.5*C16)/C17</f>
        <v>0.90962567025129648</v>
      </c>
      <c r="D20" s="376">
        <f>(D7+D8+D12+D13*'Info-Costos'!$F$55+0.5*D16)/D17</f>
        <v>0.90962567025129648</v>
      </c>
      <c r="E20" s="376">
        <f>(E7+E8+E12+E13*'Info-Costos'!$F$55+0.5*E16)/E17</f>
        <v>0.90962970458263925</v>
      </c>
      <c r="F20" s="377">
        <f>(F7+F8+F12+F13*'Info-Costos'!$F$55+0.5*F16)/F17</f>
        <v>0.90962970458263925</v>
      </c>
    </row>
    <row r="22" spans="1:7" x14ac:dyDescent="0.2">
      <c r="A22" s="70"/>
      <c r="B22" s="18" t="s">
        <v>111</v>
      </c>
      <c r="C22" s="18"/>
      <c r="D22" s="18"/>
      <c r="E22" s="18"/>
      <c r="F22" s="18"/>
      <c r="G22" s="19"/>
    </row>
    <row r="23" spans="1:7" x14ac:dyDescent="0.2">
      <c r="A23" s="56"/>
      <c r="B23" s="57" t="s">
        <v>112</v>
      </c>
      <c r="C23" s="57"/>
      <c r="D23" s="57"/>
      <c r="E23" s="57"/>
      <c r="F23" s="57"/>
      <c r="G23" s="58" t="s">
        <v>113</v>
      </c>
    </row>
    <row r="24" spans="1:7" x14ac:dyDescent="0.2">
      <c r="A24" s="56" t="s">
        <v>94</v>
      </c>
      <c r="B24" s="71" t="s">
        <v>54</v>
      </c>
      <c r="C24" s="71" t="s">
        <v>95</v>
      </c>
      <c r="D24" s="71" t="s">
        <v>96</v>
      </c>
      <c r="E24" s="71" t="s">
        <v>97</v>
      </c>
      <c r="F24" s="71" t="s">
        <v>98</v>
      </c>
      <c r="G24" s="72" t="s">
        <v>54</v>
      </c>
    </row>
    <row r="25" spans="1:7" x14ac:dyDescent="0.2">
      <c r="A25" s="23" t="s">
        <v>99</v>
      </c>
      <c r="B25" s="59">
        <f>'Info-Costos'!N108</f>
        <v>564741</v>
      </c>
      <c r="C25" s="59">
        <f>'Info-Costos'!N108</f>
        <v>564741</v>
      </c>
      <c r="D25" s="59">
        <f>'Info-Costos'!N108</f>
        <v>564741</v>
      </c>
      <c r="E25" s="59">
        <f>'Info-Costos'!N108</f>
        <v>564741</v>
      </c>
      <c r="F25" s="59">
        <f>'Info-Costos'!N108</f>
        <v>564741</v>
      </c>
      <c r="G25" s="60">
        <f>'Info-Costos'!N109</f>
        <v>1068307.1855999969</v>
      </c>
    </row>
    <row r="26" spans="1:7" x14ac:dyDescent="0.2">
      <c r="A26" s="27" t="s">
        <v>100</v>
      </c>
      <c r="B26" s="61">
        <f>'Info-Costos'!I14</f>
        <v>46586.453333333331</v>
      </c>
      <c r="C26" s="61">
        <f>'Info-Costos'!I14</f>
        <v>46586.453333333331</v>
      </c>
      <c r="D26" s="61">
        <f>'Info-Costos'!I14</f>
        <v>46586.453333333331</v>
      </c>
      <c r="E26" s="61">
        <f>'Info-Costos'!I14</f>
        <v>46586.453333333331</v>
      </c>
      <c r="F26" s="61">
        <f>'Info-Costos'!I14</f>
        <v>46586.453333333331</v>
      </c>
      <c r="G26" s="62">
        <f>'Info-Costos'!I15</f>
        <v>211430.82666666713</v>
      </c>
    </row>
    <row r="27" spans="1:7" x14ac:dyDescent="0.2">
      <c r="A27" s="27" t="s">
        <v>101</v>
      </c>
      <c r="B27" s="28"/>
      <c r="C27" s="28"/>
      <c r="D27" s="28"/>
      <c r="E27" s="28"/>
      <c r="F27" s="28"/>
      <c r="G27" s="45"/>
    </row>
    <row r="28" spans="1:7" x14ac:dyDescent="0.2">
      <c r="A28" s="27" t="s">
        <v>102</v>
      </c>
      <c r="B28" s="61">
        <f>'Info-Costos'!K38</f>
        <v>18715.25492778877</v>
      </c>
      <c r="C28" s="61">
        <f>'Info-Costos'!K39</f>
        <v>16929.819607677724</v>
      </c>
      <c r="D28" s="61">
        <f>'Info-Costos'!K39</f>
        <v>16929.819607677724</v>
      </c>
      <c r="E28" s="61">
        <f>'Info-Costos'!K40</f>
        <v>16929.819607677724</v>
      </c>
      <c r="F28" s="61">
        <f>'Info-Costos'!K40</f>
        <v>16929.819607677724</v>
      </c>
      <c r="G28" s="62" t="s">
        <v>693</v>
      </c>
    </row>
    <row r="29" spans="1:7" x14ac:dyDescent="0.2">
      <c r="A29" s="27" t="s">
        <v>103</v>
      </c>
      <c r="B29" s="61">
        <f>'Info-Costos'!I22</f>
        <v>6879.0795931903604</v>
      </c>
      <c r="C29" s="61">
        <f>'Info-Costos'!I23</f>
        <v>6550.3320000000003</v>
      </c>
      <c r="D29" s="61">
        <f>'Info-Costos'!I23</f>
        <v>6550.3320000000003</v>
      </c>
      <c r="E29" s="61">
        <f>'Info-Costos'!I23</f>
        <v>6550.3320000000003</v>
      </c>
      <c r="F29" s="61">
        <f>'Info-Costos'!I23</f>
        <v>6550.3320000000003</v>
      </c>
      <c r="G29" s="62" t="s">
        <v>693</v>
      </c>
    </row>
    <row r="30" spans="1:7" x14ac:dyDescent="0.2">
      <c r="A30" s="27" t="s">
        <v>104</v>
      </c>
      <c r="B30" s="61">
        <f>'Info-Costos'!N136</f>
        <v>8534.1174646015606</v>
      </c>
      <c r="C30" s="61">
        <f>'Info-Costos'!N130</f>
        <v>8550.9924647826083</v>
      </c>
      <c r="D30" s="61">
        <f>'Info-Costos'!N130</f>
        <v>8550.9924647826083</v>
      </c>
      <c r="E30" s="61">
        <f>'Info-Costos'!N130</f>
        <v>8550.9924647826083</v>
      </c>
      <c r="F30" s="61">
        <f>'Info-Costos'!N130</f>
        <v>8550.9924647826083</v>
      </c>
      <c r="G30" s="378">
        <f>'Info-Costos'!N137</f>
        <v>38738.171507623716</v>
      </c>
    </row>
    <row r="31" spans="1:7" x14ac:dyDescent="0.2">
      <c r="A31" s="27" t="s">
        <v>114</v>
      </c>
      <c r="B31" s="61">
        <f>'Info-Costos'!N64</f>
        <v>1705.2640914715</v>
      </c>
      <c r="C31" s="61">
        <f>'Info-Costos'!N58</f>
        <v>1705.2640914715</v>
      </c>
      <c r="D31" s="61">
        <f>'Info-Costos'!N58</f>
        <v>1705.2640914715</v>
      </c>
      <c r="E31" s="61">
        <f>'Info-Costos'!N58</f>
        <v>1705.2640914715</v>
      </c>
      <c r="F31" s="61">
        <f>'Info-Costos'!N58</f>
        <v>1705.2640914715</v>
      </c>
      <c r="G31" s="62">
        <f>'Info-Costos'!N65</f>
        <v>18143.441242188506</v>
      </c>
    </row>
    <row r="32" spans="1:7" x14ac:dyDescent="0.2">
      <c r="A32" s="27" t="s">
        <v>115</v>
      </c>
      <c r="B32" s="61">
        <v>0</v>
      </c>
      <c r="C32" s="61">
        <v>0</v>
      </c>
      <c r="D32" s="61">
        <v>0</v>
      </c>
      <c r="E32" s="61">
        <v>0</v>
      </c>
      <c r="F32" s="61">
        <v>0</v>
      </c>
      <c r="G32" s="61" t="s">
        <v>693</v>
      </c>
    </row>
    <row r="33" spans="1:7" x14ac:dyDescent="0.2">
      <c r="A33" s="27" t="s">
        <v>116</v>
      </c>
      <c r="B33" s="61">
        <f>'Info-Costos'!N154</f>
        <v>2857.8025536148575</v>
      </c>
      <c r="C33" s="61">
        <f>'Info-Costos'!N149</f>
        <v>2585.1681899999999</v>
      </c>
      <c r="D33" s="61">
        <f>'Info-Costos'!N149</f>
        <v>2585.1681899999999</v>
      </c>
      <c r="E33" s="61">
        <f>'Info-Costos'!N149</f>
        <v>2585.1681899999999</v>
      </c>
      <c r="F33" s="61">
        <f>'Info-Costos'!N149</f>
        <v>2585.1681899999999</v>
      </c>
      <c r="G33" s="62" t="s">
        <v>693</v>
      </c>
    </row>
    <row r="34" spans="1:7" x14ac:dyDescent="0.2">
      <c r="A34" s="27" t="s">
        <v>117</v>
      </c>
      <c r="B34" s="61">
        <f>InfoInicial!$B$6*SUM('E-Costos'!B25:B33)</f>
        <v>52001.517757120018</v>
      </c>
      <c r="C34" s="61">
        <f>InfoInicial!$B$6*SUM('E-Costos'!B25:B33)</f>
        <v>52001.517757120018</v>
      </c>
      <c r="D34" s="61">
        <f>InfoInicial!$B$6*SUM('E-Costos'!B25:B33)</f>
        <v>52001.517757120018</v>
      </c>
      <c r="E34" s="61">
        <f>InfoInicial!$B$6*SUM('E-Costos'!B25:B33)</f>
        <v>52001.517757120018</v>
      </c>
      <c r="F34" s="28">
        <f>InfoInicial!$B$6*SUM('E-Costos'!B25:B33)</f>
        <v>52001.517757120018</v>
      </c>
      <c r="G34" s="62" t="s">
        <v>693</v>
      </c>
    </row>
    <row r="35" spans="1:7" x14ac:dyDescent="0.2">
      <c r="A35" s="35" t="s">
        <v>118</v>
      </c>
      <c r="B35" s="68">
        <f t="shared" ref="B35:G35" si="0">SUM(B25:B34)</f>
        <v>702020.48972112034</v>
      </c>
      <c r="C35" s="68">
        <f t="shared" si="0"/>
        <v>699650.54744438524</v>
      </c>
      <c r="D35" s="68">
        <f t="shared" si="0"/>
        <v>699650.54744438524</v>
      </c>
      <c r="E35" s="68">
        <f t="shared" si="0"/>
        <v>699650.54744438524</v>
      </c>
      <c r="F35" s="68">
        <f t="shared" si="0"/>
        <v>699650.54744438524</v>
      </c>
      <c r="G35" s="69">
        <f t="shared" si="0"/>
        <v>1336619.6250164763</v>
      </c>
    </row>
    <row r="36" spans="1:7" x14ac:dyDescent="0.2">
      <c r="A36" s="73"/>
      <c r="B36" s="74"/>
      <c r="C36" s="74"/>
      <c r="D36" s="74"/>
      <c r="E36" s="74"/>
      <c r="F36" s="74"/>
      <c r="G36" s="74"/>
    </row>
    <row r="37" spans="1:7" x14ac:dyDescent="0.2">
      <c r="A37" s="37"/>
      <c r="B37" s="75" t="s">
        <v>119</v>
      </c>
      <c r="C37" s="75"/>
      <c r="D37" s="75"/>
      <c r="E37" s="75"/>
      <c r="F37" s="76"/>
    </row>
    <row r="38" spans="1:7" x14ac:dyDescent="0.2">
      <c r="A38" s="35"/>
      <c r="B38" s="71" t="s">
        <v>54</v>
      </c>
      <c r="C38" s="71" t="s">
        <v>95</v>
      </c>
      <c r="D38" s="71" t="s">
        <v>96</v>
      </c>
      <c r="E38" s="71" t="s">
        <v>97</v>
      </c>
      <c r="F38" s="22" t="s">
        <v>98</v>
      </c>
      <c r="G38" s="74"/>
    </row>
    <row r="39" spans="1:7" x14ac:dyDescent="0.2">
      <c r="A39" s="41" t="s">
        <v>108</v>
      </c>
      <c r="B39" s="59">
        <f>B17</f>
        <v>43998068.440911777</v>
      </c>
      <c r="C39" s="59">
        <f t="shared" ref="C39:F39" si="1">C17</f>
        <v>46120083.673168689</v>
      </c>
      <c r="D39" s="59">
        <f t="shared" si="1"/>
        <v>46120083.673168689</v>
      </c>
      <c r="E39" s="59">
        <f t="shared" si="1"/>
        <v>46122142.57646469</v>
      </c>
      <c r="F39" s="59">
        <f t="shared" si="1"/>
        <v>46122142.57646469</v>
      </c>
      <c r="G39" s="74"/>
    </row>
    <row r="40" spans="1:7" x14ac:dyDescent="0.2">
      <c r="A40" s="27" t="s">
        <v>120</v>
      </c>
      <c r="B40" s="61"/>
      <c r="C40" s="61"/>
      <c r="D40" s="61"/>
      <c r="E40" s="61"/>
      <c r="F40" s="45"/>
      <c r="G40" s="74"/>
    </row>
    <row r="41" spans="1:7" x14ac:dyDescent="0.2">
      <c r="A41" s="27" t="s">
        <v>121</v>
      </c>
      <c r="B41" s="61">
        <f>G35</f>
        <v>1336619.6250164763</v>
      </c>
      <c r="C41" s="61">
        <v>0</v>
      </c>
      <c r="D41" s="61">
        <v>0</v>
      </c>
      <c r="E41" s="61">
        <v>0</v>
      </c>
      <c r="F41" s="61">
        <v>0</v>
      </c>
      <c r="G41" s="74"/>
    </row>
    <row r="42" spans="1:7" x14ac:dyDescent="0.2">
      <c r="A42" s="27" t="s">
        <v>122</v>
      </c>
      <c r="B42" s="61">
        <f>B35</f>
        <v>702020.48972112034</v>
      </c>
      <c r="C42" s="61">
        <f t="shared" ref="C42:F42" si="2">C35</f>
        <v>699650.54744438524</v>
      </c>
      <c r="D42" s="61">
        <f t="shared" si="2"/>
        <v>699650.54744438524</v>
      </c>
      <c r="E42" s="61">
        <f t="shared" si="2"/>
        <v>699650.54744438524</v>
      </c>
      <c r="F42" s="61">
        <f t="shared" si="2"/>
        <v>699650.54744438524</v>
      </c>
      <c r="G42" s="74"/>
    </row>
    <row r="43" spans="1:7" x14ac:dyDescent="0.2">
      <c r="A43" s="25" t="s">
        <v>123</v>
      </c>
      <c r="B43" s="61">
        <f>B39-B41-B42</f>
        <v>41959428.326174185</v>
      </c>
      <c r="C43" s="61">
        <f>C39-C41-C42</f>
        <v>45420433.125724301</v>
      </c>
      <c r="D43" s="61">
        <f>D39-D41-D42</f>
        <v>45420433.125724301</v>
      </c>
      <c r="E43" s="61">
        <f>E39-E41-E42</f>
        <v>45422492.029020302</v>
      </c>
      <c r="F43" s="61">
        <f>F39-F41-F42</f>
        <v>45422492.029020302</v>
      </c>
      <c r="G43" s="74"/>
    </row>
    <row r="44" spans="1:7" x14ac:dyDescent="0.2">
      <c r="A44" s="67" t="s">
        <v>124</v>
      </c>
      <c r="B44" s="77">
        <f>B43/B101</f>
        <v>1030.7669031413316</v>
      </c>
      <c r="C44" s="77">
        <f>C43/C101</f>
        <v>1009.342958349429</v>
      </c>
      <c r="D44" s="77">
        <f>D43/D101</f>
        <v>1009.342958349429</v>
      </c>
      <c r="E44" s="77">
        <f>E43/E101</f>
        <v>1009.3887117560067</v>
      </c>
      <c r="F44" s="77">
        <f>F43/F101</f>
        <v>1009.3887117560067</v>
      </c>
      <c r="G44" s="74"/>
    </row>
    <row r="45" spans="1:7" x14ac:dyDescent="0.2">
      <c r="A45" s="67"/>
      <c r="B45" s="77"/>
      <c r="C45" s="77"/>
      <c r="D45" s="77"/>
      <c r="E45" s="77"/>
      <c r="F45" s="78"/>
      <c r="G45" s="74"/>
    </row>
    <row r="46" spans="1:7" x14ac:dyDescent="0.2">
      <c r="A46" s="67" t="s">
        <v>109</v>
      </c>
      <c r="B46" s="79">
        <f>((B39*B19)-B41-B28-B29-B31*'Info-Costos'!$F$52-'E-Costos'!B33-(0.5*'E-Costos'!B34))/'E-Costos'!B43</f>
        <v>6.2198215894054762E-2</v>
      </c>
      <c r="C46" s="79">
        <f>((C39*C19)-C41-C28-C29-C31*'Info-Costos'!$F$52-'E-Costos'!C33-(0.5*'E-Costos'!C34))/'E-Costos'!C43</f>
        <v>8.8896847249623878E-2</v>
      </c>
      <c r="D46" s="79">
        <f>((D39*D19)-D41-D28-D29-D31*'Info-Costos'!$F$52-'E-Costos'!D33-(0.5*'E-Costos'!D34))/'E-Costos'!D43</f>
        <v>8.8896847249623878E-2</v>
      </c>
      <c r="E46" s="79">
        <f>((E39*E19)-E41-E28-E29-E31*'Info-Costos'!$F$52-'E-Costos'!E33-(0.5*'E-Costos'!E34))/'E-Costos'!E43</f>
        <v>8.889281774785876E-2</v>
      </c>
      <c r="F46" s="79">
        <f>((F39*F19)-F41-F28-F29-F31*'Info-Costos'!$F$52-'E-Costos'!F33-(0.5*'E-Costos'!F34))/'E-Costos'!F43</f>
        <v>8.889281774785876E-2</v>
      </c>
      <c r="G46" s="74"/>
    </row>
    <row r="47" spans="1:7" x14ac:dyDescent="0.2">
      <c r="A47" s="35" t="s">
        <v>110</v>
      </c>
      <c r="B47" s="357">
        <f>((B39*B20)-B25-B26-B30-(B31*'Info-Costos'!$F$53)-B32-(0.5*B34))/B43</f>
        <v>0.93614590441330747</v>
      </c>
      <c r="C47" s="357">
        <f>((C39*C20)-C25-C26-C30-(C31*'Info-Costos'!$F$53)-C32-(0.5*C34))/C43</f>
        <v>0.90940348293467221</v>
      </c>
      <c r="D47" s="357">
        <f>((D39*D20)-D25-D26-D30-(D31*'Info-Costos'!$F$53)-D32-(0.5*D34))/D43</f>
        <v>0.90940348293467221</v>
      </c>
      <c r="E47" s="357">
        <f>((E39*E20)-E25-E26-E30-(E31*'Info-Costos'!$F$53)-E32-(0.5*E34))/E43</f>
        <v>0.90940758947879297</v>
      </c>
      <c r="F47" s="357">
        <f>((F39*F20)-F25-F26-F30-(F31*'Info-Costos'!$F$53)-F32-(0.5*F34))/F43</f>
        <v>0.90940758947879297</v>
      </c>
      <c r="G47" s="74"/>
    </row>
    <row r="50" spans="1:7" x14ac:dyDescent="0.2">
      <c r="A50" s="33"/>
      <c r="B50" s="18" t="s">
        <v>125</v>
      </c>
      <c r="C50" s="18"/>
      <c r="D50" s="18"/>
      <c r="E50" s="18"/>
      <c r="F50" s="19"/>
    </row>
    <row r="51" spans="1:7" x14ac:dyDescent="0.2">
      <c r="A51" s="82" t="s">
        <v>94</v>
      </c>
      <c r="B51" s="21" t="s">
        <v>54</v>
      </c>
      <c r="C51" s="21" t="s">
        <v>95</v>
      </c>
      <c r="D51" s="21" t="s">
        <v>96</v>
      </c>
      <c r="E51" s="21" t="s">
        <v>97</v>
      </c>
      <c r="F51" s="22" t="s">
        <v>98</v>
      </c>
    </row>
    <row r="52" spans="1:7" ht="13.5" thickTop="1" x14ac:dyDescent="0.2">
      <c r="A52" s="70" t="s">
        <v>126</v>
      </c>
      <c r="B52" s="83">
        <f>'Info-Costos'!E27</f>
        <v>1889664</v>
      </c>
      <c r="C52" s="83">
        <f>'Info-Costos'!$E$26</f>
        <v>1989120</v>
      </c>
      <c r="D52" s="83">
        <f>'Info-Costos'!$E$26</f>
        <v>1989120</v>
      </c>
      <c r="E52" s="83">
        <f>'Info-Costos'!$E$26</f>
        <v>1989120</v>
      </c>
      <c r="F52" s="83">
        <f>'Info-Costos'!$E$26</f>
        <v>1989120</v>
      </c>
    </row>
    <row r="53" spans="1:7" x14ac:dyDescent="0.2">
      <c r="A53" s="41" t="s">
        <v>698</v>
      </c>
      <c r="B53" s="59">
        <f>0.1*('E-Inv AF y Am'!D56)</f>
        <v>258198.97049599999</v>
      </c>
      <c r="C53" s="59">
        <f>0.1*('E-Inv AF y Am'!D56)</f>
        <v>258198.97049599999</v>
      </c>
      <c r="D53" s="59">
        <f>0.1*('E-Inv AF y Am'!D56)</f>
        <v>258198.97049599999</v>
      </c>
      <c r="E53" s="59">
        <f>0.1*('E-Inv AF y Am'!D56)</f>
        <v>258198.97049599999</v>
      </c>
      <c r="F53" s="60">
        <f>0.1*('E-Inv AF y Am'!D56)</f>
        <v>258198.97049599999</v>
      </c>
    </row>
    <row r="54" spans="1:7" x14ac:dyDescent="0.2">
      <c r="A54" s="27" t="s">
        <v>104</v>
      </c>
      <c r="B54" s="61">
        <f>'Info-Costos'!C66</f>
        <v>66750.395224320004</v>
      </c>
      <c r="C54" s="61">
        <f>'Info-Costos'!B66</f>
        <v>74167.105804799998</v>
      </c>
      <c r="D54" s="61">
        <f>'Info-Costos'!B66</f>
        <v>74167.105804799998</v>
      </c>
      <c r="E54" s="61">
        <f>'Info-Costos'!B66</f>
        <v>74167.105804799998</v>
      </c>
      <c r="F54" s="62">
        <f>'Info-Costos'!B66</f>
        <v>74167.105804799998</v>
      </c>
    </row>
    <row r="55" spans="1:7" x14ac:dyDescent="0.2">
      <c r="A55" s="27" t="s">
        <v>127</v>
      </c>
      <c r="B55" s="61">
        <f>'Info-Costos'!B60</f>
        <v>10402.885395000001</v>
      </c>
      <c r="C55" s="61">
        <f>'Info-Costos'!C54</f>
        <v>11558.761550000001</v>
      </c>
      <c r="D55" s="61">
        <f>'Info-Costos'!C54</f>
        <v>11558.761550000001</v>
      </c>
      <c r="E55" s="61">
        <f>'Info-Costos'!C54</f>
        <v>11558.761550000001</v>
      </c>
      <c r="F55" s="62">
        <f>'Info-Costos'!C54</f>
        <v>11558.761550000001</v>
      </c>
    </row>
    <row r="56" spans="1:7" x14ac:dyDescent="0.2">
      <c r="A56" s="27" t="s">
        <v>128</v>
      </c>
      <c r="B56" s="61">
        <v>0</v>
      </c>
      <c r="C56" s="61">
        <v>0</v>
      </c>
      <c r="D56" s="61">
        <v>0</v>
      </c>
      <c r="E56" s="61">
        <v>0</v>
      </c>
      <c r="F56" s="62">
        <v>0</v>
      </c>
    </row>
    <row r="57" spans="1:7" x14ac:dyDescent="0.2">
      <c r="A57" s="27" t="s">
        <v>129</v>
      </c>
      <c r="B57" s="61">
        <f>'Info-Costos'!B79</f>
        <v>120000</v>
      </c>
      <c r="C57" s="61">
        <f>'Info-Costos'!B79</f>
        <v>120000</v>
      </c>
      <c r="D57" s="61">
        <f>'Info-Costos'!B79</f>
        <v>120000</v>
      </c>
      <c r="E57" s="61">
        <f>'Info-Costos'!B79</f>
        <v>120000</v>
      </c>
      <c r="F57" s="62">
        <f>'Info-Costos'!B79</f>
        <v>120000</v>
      </c>
    </row>
    <row r="58" spans="1:7" x14ac:dyDescent="0.2">
      <c r="A58" s="27" t="s">
        <v>107</v>
      </c>
      <c r="B58" s="61">
        <f>'Info-Costos'!G78</f>
        <v>888375</v>
      </c>
      <c r="C58" s="61">
        <f>'Info-Costos'!G78</f>
        <v>888375</v>
      </c>
      <c r="D58" s="61">
        <f>'Info-Costos'!G78</f>
        <v>888375</v>
      </c>
      <c r="E58" s="61">
        <f>'Info-Costos'!G78</f>
        <v>888375</v>
      </c>
      <c r="F58" s="62">
        <f>'Info-Costos'!G78</f>
        <v>888375</v>
      </c>
    </row>
    <row r="59" spans="1:7" x14ac:dyDescent="0.2">
      <c r="A59" s="27" t="s">
        <v>7</v>
      </c>
      <c r="B59" s="61">
        <f>InfoInicial!$B$6*SUM('E-Costos'!B52:B58)</f>
        <v>258671.30008922558</v>
      </c>
      <c r="C59" s="61">
        <f>InfoInicial!$B$6*SUM('E-Costos'!B52:B58)</f>
        <v>258671.30008922558</v>
      </c>
      <c r="D59" s="61">
        <f>InfoInicial!$B$6*SUM('E-Costos'!B52:B58)</f>
        <v>258671.30008922558</v>
      </c>
      <c r="E59" s="61">
        <f>InfoInicial!$B$6*SUM('E-Costos'!B52:B58)</f>
        <v>258671.30008922558</v>
      </c>
      <c r="F59" s="62">
        <f>InfoInicial!$B$6*SUM('E-Costos'!B52:B58)</f>
        <v>258671.30008922558</v>
      </c>
    </row>
    <row r="60" spans="1:7" x14ac:dyDescent="0.2">
      <c r="A60" s="27"/>
      <c r="B60" s="47"/>
      <c r="C60" s="47"/>
      <c r="D60" s="47"/>
      <c r="E60" s="47"/>
      <c r="F60" s="49"/>
    </row>
    <row r="61" spans="1:7" x14ac:dyDescent="0.2">
      <c r="A61" s="25" t="s">
        <v>130</v>
      </c>
      <c r="B61" s="61">
        <f>SUM(B52:B59)</f>
        <v>3492062.5512045454</v>
      </c>
      <c r="C61" s="61">
        <f>SUM(C52:C59)</f>
        <v>3600091.1379400254</v>
      </c>
      <c r="D61" s="61">
        <f>SUM(D52:D59)</f>
        <v>3600091.1379400254</v>
      </c>
      <c r="E61" s="61">
        <f>SUM(E52:E59)</f>
        <v>3600091.1379400254</v>
      </c>
      <c r="F61" s="61">
        <f>SUM(F52:F59)</f>
        <v>3600091.1379400254</v>
      </c>
    </row>
    <row r="62" spans="1:7" x14ac:dyDescent="0.2">
      <c r="A62" s="25"/>
      <c r="B62" s="85"/>
      <c r="C62" s="85"/>
      <c r="D62" s="85"/>
      <c r="E62" s="85"/>
      <c r="F62" s="86"/>
      <c r="G62" s="74"/>
    </row>
    <row r="63" spans="1:7" x14ac:dyDescent="0.2">
      <c r="A63" s="67" t="s">
        <v>109</v>
      </c>
      <c r="B63" s="87">
        <v>1</v>
      </c>
      <c r="C63" s="87">
        <v>1</v>
      </c>
      <c r="D63" s="87">
        <v>1</v>
      </c>
      <c r="E63" s="87">
        <v>1</v>
      </c>
      <c r="F63" s="87">
        <v>1</v>
      </c>
      <c r="G63" s="74"/>
    </row>
    <row r="64" spans="1:7" x14ac:dyDescent="0.2">
      <c r="A64" s="35" t="s">
        <v>110</v>
      </c>
      <c r="B64" s="80">
        <v>0</v>
      </c>
      <c r="C64" s="80">
        <v>0</v>
      </c>
      <c r="D64" s="80">
        <v>0</v>
      </c>
      <c r="E64" s="80">
        <v>0</v>
      </c>
      <c r="F64" s="81">
        <v>0</v>
      </c>
      <c r="G64" s="74"/>
    </row>
    <row r="67" spans="1:6" x14ac:dyDescent="0.2">
      <c r="A67" s="33"/>
      <c r="B67" s="18" t="s">
        <v>131</v>
      </c>
      <c r="C67" s="18"/>
      <c r="D67" s="18"/>
      <c r="E67" s="18"/>
      <c r="F67" s="19"/>
    </row>
    <row r="68" spans="1:6" x14ac:dyDescent="0.2">
      <c r="A68" s="82" t="s">
        <v>94</v>
      </c>
      <c r="B68" s="21" t="s">
        <v>54</v>
      </c>
      <c r="C68" s="21" t="s">
        <v>95</v>
      </c>
      <c r="D68" s="21" t="s">
        <v>96</v>
      </c>
      <c r="E68" s="21" t="s">
        <v>97</v>
      </c>
      <c r="F68" s="22" t="s">
        <v>98</v>
      </c>
    </row>
    <row r="69" spans="1:6" x14ac:dyDescent="0.2">
      <c r="A69" s="23" t="s">
        <v>126</v>
      </c>
      <c r="B69" s="59">
        <f>'Info-Costos'!E36</f>
        <v>3796200</v>
      </c>
      <c r="C69" s="59">
        <f>'Info-Costos'!$E$35</f>
        <v>3996000</v>
      </c>
      <c r="D69" s="59">
        <f>'Info-Costos'!$E$35</f>
        <v>3996000</v>
      </c>
      <c r="E69" s="59">
        <f>'Info-Costos'!$E$35</f>
        <v>3996000</v>
      </c>
      <c r="F69" s="59">
        <f>'Info-Costos'!$E$35</f>
        <v>3996000</v>
      </c>
    </row>
    <row r="70" spans="1:6" x14ac:dyDescent="0.2">
      <c r="A70" s="27" t="s">
        <v>132</v>
      </c>
      <c r="B70" s="61">
        <f>0.1*('E-Inv AF y Am'!D56)</f>
        <v>258198.97049599999</v>
      </c>
      <c r="C70" s="61">
        <f>0.1*('E-Inv AF y Am'!D56)</f>
        <v>258198.97049599999</v>
      </c>
      <c r="D70" s="61">
        <f>0.1*('E-Inv AF y Am'!D56)</f>
        <v>258198.97049599999</v>
      </c>
      <c r="E70" s="61">
        <f>0.1*('E-Inv AF y Am'!D56)</f>
        <v>258198.97049599999</v>
      </c>
      <c r="F70" s="45">
        <f>0.1*('E-Inv AF y Am'!D56)</f>
        <v>258198.97049599999</v>
      </c>
    </row>
    <row r="71" spans="1:6" x14ac:dyDescent="0.2">
      <c r="A71" s="27" t="s">
        <v>104</v>
      </c>
      <c r="B71" s="61">
        <f>'Info-Costos'!C72</f>
        <v>95137.676418240007</v>
      </c>
      <c r="C71" s="61">
        <f>'Info-Costos'!B72</f>
        <v>105708.5293536</v>
      </c>
      <c r="D71" s="61">
        <f>'Info-Costos'!B72</f>
        <v>105708.5293536</v>
      </c>
      <c r="E71" s="61">
        <f>'Info-Costos'!B72</f>
        <v>105708.5293536</v>
      </c>
      <c r="F71" s="62">
        <f>'Info-Costos'!B72</f>
        <v>105708.5293536</v>
      </c>
    </row>
    <row r="72" spans="1:6" x14ac:dyDescent="0.2">
      <c r="A72" s="27" t="s">
        <v>133</v>
      </c>
      <c r="B72" s="61">
        <f>'Info-Costos'!B59</f>
        <v>10402.885395000001</v>
      </c>
      <c r="C72" s="61">
        <f>'Info-Costos'!C53</f>
        <v>11558.761550000001</v>
      </c>
      <c r="D72" s="61">
        <f>'Info-Costos'!C53</f>
        <v>11558.761550000001</v>
      </c>
      <c r="E72" s="61">
        <f>'Info-Costos'!C53</f>
        <v>11558.761550000001</v>
      </c>
      <c r="F72" s="62">
        <f>'Info-Costos'!C53</f>
        <v>11558.761550000001</v>
      </c>
    </row>
    <row r="73" spans="1:6" x14ac:dyDescent="0.2">
      <c r="A73" s="27" t="s">
        <v>128</v>
      </c>
      <c r="B73" s="61">
        <v>0</v>
      </c>
      <c r="C73" s="61">
        <v>0</v>
      </c>
      <c r="D73" s="61">
        <v>0</v>
      </c>
      <c r="E73" s="61">
        <v>0</v>
      </c>
      <c r="F73" s="62">
        <v>0</v>
      </c>
    </row>
    <row r="74" spans="1:6" x14ac:dyDescent="0.2">
      <c r="A74" s="27" t="s">
        <v>129</v>
      </c>
      <c r="B74" s="61">
        <f>'Info-Costos'!B87</f>
        <v>170000</v>
      </c>
      <c r="C74" s="61">
        <f>'Info-Costos'!B87</f>
        <v>170000</v>
      </c>
      <c r="D74" s="61">
        <f>'Info-Costos'!B87</f>
        <v>170000</v>
      </c>
      <c r="E74" s="61">
        <f>'Info-Costos'!B87</f>
        <v>170000</v>
      </c>
      <c r="F74" s="62">
        <f>'Info-Costos'!B87</f>
        <v>170000</v>
      </c>
    </row>
    <row r="75" spans="1:6" x14ac:dyDescent="0.2">
      <c r="A75" s="27" t="s">
        <v>107</v>
      </c>
      <c r="B75" s="61">
        <f>'Info-Costos'!G83</f>
        <v>1957500</v>
      </c>
      <c r="C75" s="61">
        <f>'Info-Costos'!G83</f>
        <v>1957500</v>
      </c>
      <c r="D75" s="61">
        <f>'Info-Costos'!G83</f>
        <v>1957500</v>
      </c>
      <c r="E75" s="61">
        <f>'Info-Costos'!G83</f>
        <v>1957500</v>
      </c>
      <c r="F75" s="62">
        <f>'Info-Costos'!G83</f>
        <v>1957500</v>
      </c>
    </row>
    <row r="76" spans="1:6" x14ac:dyDescent="0.2">
      <c r="A76" s="27" t="s">
        <v>7</v>
      </c>
      <c r="B76" s="61">
        <f>InfoInicial!$B$6*SUM('E-Costos'!B69:B75)</f>
        <v>502995.16258473921</v>
      </c>
      <c r="C76" s="61">
        <f>InfoInicial!$B$6*SUM('E-Costos'!B69:B75)</f>
        <v>502995.16258473921</v>
      </c>
      <c r="D76" s="61">
        <f>InfoInicial!$B$6*SUM('E-Costos'!B69:B75)</f>
        <v>502995.16258473921</v>
      </c>
      <c r="E76" s="61">
        <f>InfoInicial!$B$6*SUM('E-Costos'!B69:B75)</f>
        <v>502995.16258473921</v>
      </c>
      <c r="F76" s="62">
        <f>InfoInicial!$B$6*SUM('E-Costos'!B69:B75)</f>
        <v>502995.16258473921</v>
      </c>
    </row>
    <row r="77" spans="1:6" x14ac:dyDescent="0.2">
      <c r="A77" s="27"/>
      <c r="B77" s="47"/>
      <c r="C77" s="47"/>
      <c r="D77" s="47"/>
      <c r="E77" s="47"/>
      <c r="F77" s="49"/>
    </row>
    <row r="78" spans="1:6" x14ac:dyDescent="0.2">
      <c r="A78" s="25" t="s">
        <v>134</v>
      </c>
      <c r="B78" s="61">
        <f>SUM(B69:B76)</f>
        <v>6790434.6948939785</v>
      </c>
      <c r="C78" s="61">
        <f>SUM(C69:C76)</f>
        <v>7001961.4239843385</v>
      </c>
      <c r="D78" s="61">
        <f>SUM(D69:D76)</f>
        <v>7001961.4239843385</v>
      </c>
      <c r="E78" s="61">
        <f>SUM(E69:E76)</f>
        <v>7001961.4239843385</v>
      </c>
      <c r="F78" s="61">
        <f>SUM(F69:F76)</f>
        <v>7001961.4239843385</v>
      </c>
    </row>
    <row r="79" spans="1:6" x14ac:dyDescent="0.2">
      <c r="A79" s="25"/>
      <c r="B79" s="85"/>
      <c r="C79" s="85"/>
      <c r="D79" s="85"/>
      <c r="E79" s="85"/>
      <c r="F79" s="86"/>
    </row>
    <row r="80" spans="1:6" x14ac:dyDescent="0.2">
      <c r="A80" s="67" t="s">
        <v>109</v>
      </c>
      <c r="B80" s="358">
        <f>(B69+B70+B71+B72+B75+(0.5*B76))/B78</f>
        <v>0.93792774686290525</v>
      </c>
      <c r="C80" s="87">
        <f>(C69+C70+C71+C72+C75+(0.5*C76))/C78</f>
        <v>0.93980292724141801</v>
      </c>
      <c r="D80" s="87">
        <f>(D69+D70+D71+D72+D75+(0.5*D76))/D78</f>
        <v>0.93980292724141801</v>
      </c>
      <c r="E80" s="87">
        <f>(E69+E70+E71+E72+E75+(0.5*E76))/E78</f>
        <v>0.93980292724141801</v>
      </c>
      <c r="F80" s="87">
        <f>(F69+F70+F71+F72+F75+(0.5*F76))/F78</f>
        <v>0.93980292724141801</v>
      </c>
    </row>
    <row r="81" spans="1:6" x14ac:dyDescent="0.2">
      <c r="A81" s="35" t="s">
        <v>110</v>
      </c>
      <c r="B81" s="80">
        <f>(B74+B76*0.5)/B78</f>
        <v>6.2072253137094725E-2</v>
      </c>
      <c r="C81" s="80">
        <f>(C74+C76*0.5)/C78</f>
        <v>6.0197072758582E-2</v>
      </c>
      <c r="D81" s="80">
        <f>(D74+D76*0.5)/D78</f>
        <v>6.0197072758582E-2</v>
      </c>
      <c r="E81" s="80">
        <f>(E74+E76*0.5)/E78</f>
        <v>6.0197072758582E-2</v>
      </c>
      <c r="F81" s="80">
        <f>(F74+F76*0.5)/F78</f>
        <v>6.0197072758582E-2</v>
      </c>
    </row>
    <row r="84" spans="1:6" ht="15.75" x14ac:dyDescent="0.25">
      <c r="A84" s="89" t="s">
        <v>135</v>
      </c>
      <c r="B84" s="90"/>
      <c r="C84" s="90"/>
      <c r="D84" s="90"/>
      <c r="E84" s="90"/>
      <c r="F84" s="91"/>
    </row>
    <row r="85" spans="1:6" x14ac:dyDescent="0.2">
      <c r="A85" s="27"/>
      <c r="B85" s="57" t="s">
        <v>54</v>
      </c>
      <c r="C85" s="57" t="s">
        <v>95</v>
      </c>
      <c r="D85" s="57" t="s">
        <v>96</v>
      </c>
      <c r="E85" s="57" t="s">
        <v>97</v>
      </c>
      <c r="F85" s="22" t="s">
        <v>98</v>
      </c>
    </row>
    <row r="86" spans="1:6" x14ac:dyDescent="0.2">
      <c r="A86" s="27" t="s">
        <v>136</v>
      </c>
      <c r="B86" s="92">
        <f>'Info-InvAT'!D15</f>
        <v>40257</v>
      </c>
      <c r="C86" s="92">
        <f>'Info-InvAT'!$E$15</f>
        <v>45000</v>
      </c>
      <c r="D86" s="92">
        <f>'Info-InvAT'!$E$15</f>
        <v>45000</v>
      </c>
      <c r="E86" s="92">
        <f>'Info-InvAT'!$E$15</f>
        <v>45000</v>
      </c>
      <c r="F86" s="92">
        <f>'Info-InvAT'!$E$15</f>
        <v>45000</v>
      </c>
    </row>
    <row r="87" spans="1:6" x14ac:dyDescent="0.2">
      <c r="A87" s="27" t="s">
        <v>137</v>
      </c>
      <c r="B87" s="61">
        <f>InfoInicial!$B$20</f>
        <v>1450</v>
      </c>
      <c r="C87" s="61">
        <f>InfoInicial!$B$20</f>
        <v>1450</v>
      </c>
      <c r="D87" s="61">
        <f>InfoInicial!$B$20</f>
        <v>1450</v>
      </c>
      <c r="E87" s="61">
        <f>InfoInicial!$B$20</f>
        <v>1450</v>
      </c>
      <c r="F87" s="61">
        <f>InfoInicial!$B$20</f>
        <v>1450</v>
      </c>
    </row>
    <row r="88" spans="1:6" x14ac:dyDescent="0.2">
      <c r="A88" s="25" t="s">
        <v>138</v>
      </c>
      <c r="B88" s="61">
        <f>B86*B87</f>
        <v>58372650</v>
      </c>
      <c r="C88" s="61">
        <f>C86*C87</f>
        <v>65250000</v>
      </c>
      <c r="D88" s="61">
        <f>D86*D87</f>
        <v>65250000</v>
      </c>
      <c r="E88" s="61">
        <f>E86*E87</f>
        <v>65250000</v>
      </c>
      <c r="F88" s="61">
        <f>F86*F87</f>
        <v>65250000</v>
      </c>
    </row>
    <row r="89" spans="1:6" x14ac:dyDescent="0.2">
      <c r="A89" s="27"/>
      <c r="B89" s="85"/>
      <c r="C89" s="85"/>
      <c r="D89" s="85"/>
      <c r="E89" s="85"/>
      <c r="F89" s="86"/>
    </row>
    <row r="90" spans="1:6" x14ac:dyDescent="0.2">
      <c r="A90" s="27" t="s">
        <v>139</v>
      </c>
      <c r="B90" s="61">
        <f>B7</f>
        <v>32794495.5</v>
      </c>
      <c r="C90" s="61">
        <f t="shared" ref="C90:F90" si="3">C7</f>
        <v>34447764</v>
      </c>
      <c r="D90" s="61">
        <f t="shared" si="3"/>
        <v>34447764</v>
      </c>
      <c r="E90" s="61">
        <f t="shared" si="3"/>
        <v>34447764</v>
      </c>
      <c r="F90" s="61">
        <f t="shared" si="3"/>
        <v>34447764</v>
      </c>
    </row>
    <row r="91" spans="1:6" x14ac:dyDescent="0.2">
      <c r="A91" s="27" t="s">
        <v>100</v>
      </c>
      <c r="B91" s="61">
        <f t="shared" ref="B91:F91" si="4">B8</f>
        <v>5399040</v>
      </c>
      <c r="C91" s="61">
        <f t="shared" si="4"/>
        <v>5683200</v>
      </c>
      <c r="D91" s="61">
        <f t="shared" si="4"/>
        <v>5683200</v>
      </c>
      <c r="E91" s="61">
        <f t="shared" si="4"/>
        <v>5683200</v>
      </c>
      <c r="F91" s="61">
        <f t="shared" si="4"/>
        <v>5683200</v>
      </c>
    </row>
    <row r="92" spans="1:6" x14ac:dyDescent="0.2">
      <c r="A92" s="27" t="s">
        <v>140</v>
      </c>
      <c r="B92" s="61">
        <f>SUM(B10:B16)</f>
        <v>5804532.9409117764</v>
      </c>
      <c r="C92" s="61">
        <f t="shared" ref="C92:F92" si="5">SUM(C10:C16)</f>
        <v>5989119.6731686918</v>
      </c>
      <c r="D92" s="61">
        <f t="shared" si="5"/>
        <v>5989119.6731686918</v>
      </c>
      <c r="E92" s="61">
        <f t="shared" si="5"/>
        <v>5991178.5764646921</v>
      </c>
      <c r="F92" s="61">
        <f t="shared" si="5"/>
        <v>5991178.5764646921</v>
      </c>
    </row>
    <row r="93" spans="1:6" x14ac:dyDescent="0.2">
      <c r="A93" s="27"/>
      <c r="B93" s="85"/>
      <c r="C93" s="85"/>
      <c r="D93" s="85"/>
      <c r="E93" s="85"/>
      <c r="F93" s="86"/>
    </row>
    <row r="94" spans="1:6" x14ac:dyDescent="0.2">
      <c r="A94" s="27" t="s">
        <v>141</v>
      </c>
      <c r="B94" s="94">
        <f>B17</f>
        <v>43998068.440911777</v>
      </c>
      <c r="C94" s="94">
        <f t="shared" ref="C94:F94" si="6">C17</f>
        <v>46120083.673168689</v>
      </c>
      <c r="D94" s="94">
        <f t="shared" si="6"/>
        <v>46120083.673168689</v>
      </c>
      <c r="E94" s="94">
        <f t="shared" si="6"/>
        <v>46122142.57646469</v>
      </c>
      <c r="F94" s="94">
        <f t="shared" si="6"/>
        <v>46122142.57646469</v>
      </c>
    </row>
    <row r="95" spans="1:6" x14ac:dyDescent="0.2">
      <c r="A95" s="27"/>
      <c r="B95" s="85"/>
      <c r="C95" s="85"/>
      <c r="D95" s="85"/>
      <c r="E95" s="85"/>
      <c r="F95" s="86"/>
    </row>
    <row r="96" spans="1:6" x14ac:dyDescent="0.2">
      <c r="A96" s="27" t="s">
        <v>120</v>
      </c>
      <c r="B96" s="85"/>
      <c r="C96" s="85"/>
      <c r="D96" s="85"/>
      <c r="E96" s="85"/>
      <c r="F96" s="86"/>
    </row>
    <row r="97" spans="1:6" x14ac:dyDescent="0.2">
      <c r="A97" s="29" t="s">
        <v>113</v>
      </c>
      <c r="B97" s="61">
        <f>G35</f>
        <v>1336619.6250164763</v>
      </c>
      <c r="C97" s="61">
        <v>0</v>
      </c>
      <c r="D97" s="61">
        <v>0</v>
      </c>
      <c r="E97" s="61">
        <v>0</v>
      </c>
      <c r="F97" s="62">
        <v>0</v>
      </c>
    </row>
    <row r="98" spans="1:6" x14ac:dyDescent="0.2">
      <c r="A98" s="29" t="s">
        <v>122</v>
      </c>
      <c r="B98" s="61">
        <f>B42</f>
        <v>702020.48972112034</v>
      </c>
      <c r="C98" s="61">
        <f t="shared" ref="C98:F98" si="7">C42</f>
        <v>699650.54744438524</v>
      </c>
      <c r="D98" s="61">
        <f t="shared" si="7"/>
        <v>699650.54744438524</v>
      </c>
      <c r="E98" s="61">
        <f t="shared" si="7"/>
        <v>699650.54744438524</v>
      </c>
      <c r="F98" s="61">
        <f t="shared" si="7"/>
        <v>699650.54744438524</v>
      </c>
    </row>
    <row r="99" spans="1:6" x14ac:dyDescent="0.2">
      <c r="A99" s="27"/>
      <c r="B99" s="85"/>
      <c r="C99" s="85"/>
      <c r="D99" s="85"/>
      <c r="E99" s="85"/>
      <c r="F99" s="86"/>
    </row>
    <row r="100" spans="1:6" x14ac:dyDescent="0.2">
      <c r="A100" s="25" t="s">
        <v>142</v>
      </c>
      <c r="B100" s="61">
        <f>B43</f>
        <v>41959428.326174185</v>
      </c>
      <c r="C100" s="61">
        <f t="shared" ref="C100:F100" si="8">C43</f>
        <v>45420433.125724301</v>
      </c>
      <c r="D100" s="61">
        <f t="shared" si="8"/>
        <v>45420433.125724301</v>
      </c>
      <c r="E100" s="61">
        <f t="shared" si="8"/>
        <v>45422492.029020302</v>
      </c>
      <c r="F100" s="61">
        <f t="shared" si="8"/>
        <v>45422492.029020302</v>
      </c>
    </row>
    <row r="101" spans="1:6" x14ac:dyDescent="0.2">
      <c r="A101" s="29" t="s">
        <v>143</v>
      </c>
      <c r="B101" s="356">
        <f>'Info-InvAT'!D17</f>
        <v>40707</v>
      </c>
      <c r="C101" s="356">
        <v>45000</v>
      </c>
      <c r="D101" s="356">
        <v>45000</v>
      </c>
      <c r="E101" s="356">
        <v>45000</v>
      </c>
      <c r="F101" s="356">
        <v>45000</v>
      </c>
    </row>
    <row r="102" spans="1:6" x14ac:dyDescent="0.2">
      <c r="A102" s="27" t="s">
        <v>144</v>
      </c>
      <c r="B102" s="61">
        <f>B100/B101</f>
        <v>1030.7669031413316</v>
      </c>
      <c r="C102" s="61">
        <f t="shared" ref="C102:F102" si="9">C100/C101</f>
        <v>1009.342958349429</v>
      </c>
      <c r="D102" s="61">
        <f t="shared" si="9"/>
        <v>1009.342958349429</v>
      </c>
      <c r="E102" s="61">
        <f t="shared" si="9"/>
        <v>1009.3887117560067</v>
      </c>
      <c r="F102" s="61">
        <f t="shared" si="9"/>
        <v>1009.3887117560067</v>
      </c>
    </row>
    <row r="103" spans="1:6" x14ac:dyDescent="0.2">
      <c r="A103" s="27"/>
      <c r="B103" s="96"/>
      <c r="C103" s="96"/>
      <c r="D103" s="96"/>
      <c r="E103" s="96"/>
      <c r="F103" s="97"/>
    </row>
    <row r="104" spans="1:6" x14ac:dyDescent="0.2">
      <c r="A104" s="27" t="s">
        <v>120</v>
      </c>
      <c r="B104" s="96"/>
      <c r="C104" s="96"/>
      <c r="D104" s="96"/>
      <c r="E104" s="96"/>
      <c r="F104" s="97"/>
    </row>
    <row r="105" spans="1:6" x14ac:dyDescent="0.2">
      <c r="A105" s="27" t="s">
        <v>145</v>
      </c>
      <c r="B105" s="61">
        <f>'Info-Costos'!B178</f>
        <v>463845.10641359922</v>
      </c>
      <c r="C105" s="61">
        <f>'Info-Costos'!C178</f>
        <v>-9640.7751563561615</v>
      </c>
      <c r="D105" s="61">
        <f>'Info-Costos'!D178</f>
        <v>0</v>
      </c>
      <c r="E105" s="61">
        <f>'Info-Costos'!E178</f>
        <v>20.589032959949691</v>
      </c>
      <c r="F105" s="61">
        <f>'Info-Costos'!F178</f>
        <v>0</v>
      </c>
    </row>
    <row r="106" spans="1:6" x14ac:dyDescent="0.2">
      <c r="A106" s="27"/>
      <c r="B106" s="96"/>
      <c r="C106" s="96"/>
      <c r="D106" s="96"/>
      <c r="E106" s="96"/>
      <c r="F106" s="97"/>
    </row>
    <row r="107" spans="1:6" x14ac:dyDescent="0.2">
      <c r="A107" s="25" t="s">
        <v>146</v>
      </c>
      <c r="B107" s="61">
        <f>B100-B105</f>
        <v>41495583.219760582</v>
      </c>
      <c r="C107" s="61">
        <f t="shared" ref="C107:F107" si="10">C100-C105</f>
        <v>45430073.900880657</v>
      </c>
      <c r="D107" s="61">
        <f t="shared" si="10"/>
        <v>45420433.125724301</v>
      </c>
      <c r="E107" s="61">
        <f t="shared" si="10"/>
        <v>45422471.439987339</v>
      </c>
      <c r="F107" s="61">
        <f t="shared" si="10"/>
        <v>45422492.029020302</v>
      </c>
    </row>
    <row r="108" spans="1:6" x14ac:dyDescent="0.2">
      <c r="A108" s="27"/>
      <c r="B108" s="85"/>
      <c r="C108" s="85"/>
      <c r="D108" s="85"/>
      <c r="E108" s="85"/>
      <c r="F108" s="86"/>
    </row>
    <row r="109" spans="1:6" x14ac:dyDescent="0.2">
      <c r="A109" s="25" t="s">
        <v>147</v>
      </c>
      <c r="B109" s="61">
        <f>B61</f>
        <v>3492062.5512045454</v>
      </c>
      <c r="C109" s="61">
        <f t="shared" ref="C109:F109" si="11">C61</f>
        <v>3600091.1379400254</v>
      </c>
      <c r="D109" s="61">
        <f t="shared" si="11"/>
        <v>3600091.1379400254</v>
      </c>
      <c r="E109" s="61">
        <f t="shared" si="11"/>
        <v>3600091.1379400254</v>
      </c>
      <c r="F109" s="61">
        <f t="shared" si="11"/>
        <v>3600091.1379400254</v>
      </c>
    </row>
    <row r="110" spans="1:6" x14ac:dyDescent="0.2">
      <c r="A110" s="25" t="s">
        <v>148</v>
      </c>
      <c r="B110" s="94">
        <f>B78</f>
        <v>6790434.6948939785</v>
      </c>
      <c r="C110" s="94">
        <f t="shared" ref="C110:F110" si="12">C78</f>
        <v>7001961.4239843385</v>
      </c>
      <c r="D110" s="94">
        <f t="shared" si="12"/>
        <v>7001961.4239843385</v>
      </c>
      <c r="E110" s="94">
        <f t="shared" si="12"/>
        <v>7001961.4239843385</v>
      </c>
      <c r="F110" s="94">
        <f t="shared" si="12"/>
        <v>7001961.4239843385</v>
      </c>
    </row>
    <row r="111" spans="1:6" x14ac:dyDescent="0.2">
      <c r="A111" s="27"/>
      <c r="B111" s="96"/>
      <c r="C111" s="96"/>
      <c r="D111" s="96"/>
      <c r="E111" s="96"/>
      <c r="F111" s="97"/>
    </row>
    <row r="112" spans="1:6" x14ac:dyDescent="0.2">
      <c r="A112" s="25" t="s">
        <v>149</v>
      </c>
      <c r="B112" s="94">
        <f>B107+B109+B110</f>
        <v>51778080.465859108</v>
      </c>
      <c r="C112" s="94">
        <f t="shared" ref="C112:F112" si="13">C107+C109+C110</f>
        <v>56032126.462805025</v>
      </c>
      <c r="D112" s="94">
        <f t="shared" si="13"/>
        <v>56022485.687648669</v>
      </c>
      <c r="E112" s="94">
        <f t="shared" si="13"/>
        <v>56024524.001911707</v>
      </c>
      <c r="F112" s="94">
        <f t="shared" si="13"/>
        <v>56024544.59094467</v>
      </c>
    </row>
    <row r="113" spans="1:6" x14ac:dyDescent="0.2">
      <c r="A113" s="27"/>
      <c r="B113" s="96"/>
      <c r="C113" s="96"/>
      <c r="D113" s="96"/>
      <c r="E113" s="96"/>
      <c r="F113" s="97"/>
    </row>
    <row r="114" spans="1:6" x14ac:dyDescent="0.2">
      <c r="A114" s="25" t="s">
        <v>150</v>
      </c>
      <c r="B114" s="94">
        <f>B112/B86</f>
        <v>1286.1882521265645</v>
      </c>
      <c r="C114" s="94">
        <f t="shared" ref="C114:F114" si="14">C112/C86</f>
        <v>1245.1583658401116</v>
      </c>
      <c r="D114" s="94">
        <f t="shared" si="14"/>
        <v>1244.9441263921926</v>
      </c>
      <c r="E114" s="94">
        <f t="shared" si="14"/>
        <v>1244.9894222647047</v>
      </c>
      <c r="F114" s="94">
        <f t="shared" si="14"/>
        <v>1244.9898797987705</v>
      </c>
    </row>
    <row r="115" spans="1:6" x14ac:dyDescent="0.2">
      <c r="A115" s="27"/>
      <c r="B115" s="96"/>
      <c r="C115" s="96"/>
      <c r="D115" s="96"/>
      <c r="E115" s="96"/>
      <c r="F115" s="97"/>
    </row>
    <row r="116" spans="1:6" x14ac:dyDescent="0.2">
      <c r="A116" s="25" t="s">
        <v>151</v>
      </c>
      <c r="B116" s="94">
        <f>B88-B112</f>
        <v>6594569.5341408923</v>
      </c>
      <c r="C116" s="94">
        <f t="shared" ref="C116:F116" si="15">C88-C112</f>
        <v>9217873.5371949747</v>
      </c>
      <c r="D116" s="94">
        <f t="shared" si="15"/>
        <v>9227514.3123513311</v>
      </c>
      <c r="E116" s="94">
        <f t="shared" si="15"/>
        <v>9225475.9980882928</v>
      </c>
      <c r="F116" s="94">
        <f t="shared" si="15"/>
        <v>9225455.4090553299</v>
      </c>
    </row>
    <row r="117" spans="1:6" x14ac:dyDescent="0.2">
      <c r="A117" s="25" t="s">
        <v>5</v>
      </c>
      <c r="B117" s="94">
        <f>B116*InfoInicial!$B$5</f>
        <v>329728.47670704464</v>
      </c>
      <c r="C117" s="94">
        <f>C116*InfoInicial!$B$5</f>
        <v>460893.67685974878</v>
      </c>
      <c r="D117" s="94">
        <f>D116*InfoInicial!$B$5</f>
        <v>461375.7156175666</v>
      </c>
      <c r="E117" s="94">
        <f>E116*InfoInicial!$B$5</f>
        <v>461273.79990441469</v>
      </c>
      <c r="F117" s="94">
        <f>F116*InfoInicial!$B$5</f>
        <v>461272.7704527665</v>
      </c>
    </row>
    <row r="118" spans="1:6" x14ac:dyDescent="0.2">
      <c r="A118" s="46" t="s">
        <v>152</v>
      </c>
      <c r="B118" s="94">
        <f>B116*InfoInicial!$B$4</f>
        <v>2308099.3369493121</v>
      </c>
      <c r="C118" s="94">
        <f>C116*InfoInicial!$B$4</f>
        <v>3226255.7380182408</v>
      </c>
      <c r="D118" s="94">
        <f>D116*InfoInicial!$B$4</f>
        <v>3229630.0093229655</v>
      </c>
      <c r="E118" s="94">
        <f>E116*InfoInicial!$B$4</f>
        <v>3228916.5993309021</v>
      </c>
      <c r="F118" s="94">
        <f>F116*InfoInicial!$B$4</f>
        <v>3228909.3931693654</v>
      </c>
    </row>
    <row r="119" spans="1:6" x14ac:dyDescent="0.2">
      <c r="A119" s="25"/>
      <c r="B119" s="96"/>
      <c r="C119" s="96"/>
      <c r="D119" s="96"/>
      <c r="E119" s="96"/>
      <c r="F119" s="97"/>
    </row>
    <row r="120" spans="1:6" x14ac:dyDescent="0.2">
      <c r="A120" s="46" t="s">
        <v>153</v>
      </c>
      <c r="B120" s="94">
        <f>B116-B117-B118</f>
        <v>3956741.7204845352</v>
      </c>
      <c r="C120" s="94">
        <f t="shared" ref="C120:F120" si="16">C116-C117-C118</f>
        <v>5530724.1223169845</v>
      </c>
      <c r="D120" s="94">
        <f t="shared" si="16"/>
        <v>5536508.5874107983</v>
      </c>
      <c r="E120" s="94">
        <f t="shared" si="16"/>
        <v>5535285.5988529753</v>
      </c>
      <c r="F120" s="94">
        <f t="shared" si="16"/>
        <v>5535273.2454331983</v>
      </c>
    </row>
    <row r="121" spans="1:6" x14ac:dyDescent="0.2">
      <c r="A121" s="25" t="s">
        <v>154</v>
      </c>
      <c r="B121" s="98">
        <f>B120/B88</f>
        <v>6.7784171533835369E-2</v>
      </c>
      <c r="C121" s="98">
        <f t="shared" ref="C121:F121" si="17">C120/C88</f>
        <v>8.4762055514436538E-2</v>
      </c>
      <c r="D121" s="98">
        <f t="shared" si="17"/>
        <v>8.4850706320472008E-2</v>
      </c>
      <c r="E121" s="98">
        <f t="shared" si="17"/>
        <v>8.4831963200811877E-2</v>
      </c>
      <c r="F121" s="98">
        <f t="shared" si="17"/>
        <v>8.483177387637085E-2</v>
      </c>
    </row>
    <row r="122" spans="1:6" x14ac:dyDescent="0.2">
      <c r="A122" s="25"/>
      <c r="B122" s="100"/>
      <c r="C122" s="100"/>
      <c r="D122" s="100"/>
      <c r="E122" s="100"/>
      <c r="F122" s="101"/>
    </row>
    <row r="123" spans="1:6" x14ac:dyDescent="0.2">
      <c r="A123" s="25" t="s">
        <v>155</v>
      </c>
      <c r="B123" s="98"/>
      <c r="C123" s="98"/>
      <c r="D123" s="98"/>
      <c r="E123" s="98"/>
      <c r="F123" s="99"/>
    </row>
    <row r="124" spans="1:6" x14ac:dyDescent="0.2">
      <c r="A124" s="46" t="s">
        <v>156</v>
      </c>
      <c r="B124" s="359">
        <f>B120</f>
        <v>3956741.7204845352</v>
      </c>
      <c r="C124" s="359">
        <f t="shared" ref="C124:F124" si="18">C120</f>
        <v>5530724.1223169845</v>
      </c>
      <c r="D124" s="359">
        <f t="shared" si="18"/>
        <v>5536508.5874107983</v>
      </c>
      <c r="E124" s="359">
        <f t="shared" si="18"/>
        <v>5535285.5988529753</v>
      </c>
      <c r="F124" s="359">
        <f t="shared" si="18"/>
        <v>5535273.2454331983</v>
      </c>
    </row>
    <row r="125" spans="1:6" x14ac:dyDescent="0.2">
      <c r="A125" s="25" t="s">
        <v>157</v>
      </c>
      <c r="B125" s="359">
        <f>B10+B53+B70</f>
        <v>2581989.7049599998</v>
      </c>
      <c r="C125" s="359">
        <f t="shared" ref="C125:F125" si="19">C10+C53+C70</f>
        <v>2581989.7049599998</v>
      </c>
      <c r="D125" s="359">
        <f t="shared" si="19"/>
        <v>2581989.7049599998</v>
      </c>
      <c r="E125" s="359">
        <f t="shared" si="19"/>
        <v>2581989.7049599998</v>
      </c>
      <c r="F125" s="359">
        <f t="shared" si="19"/>
        <v>2581989.7049599998</v>
      </c>
    </row>
    <row r="126" spans="1:6" x14ac:dyDescent="0.2">
      <c r="A126" s="35" t="s">
        <v>158</v>
      </c>
      <c r="B126" s="359">
        <f>B124+B125</f>
        <v>6538731.425444535</v>
      </c>
      <c r="C126" s="359">
        <f t="shared" ref="C126:F126" si="20">C124+C125</f>
        <v>8112713.8272769842</v>
      </c>
      <c r="D126" s="359">
        <f t="shared" si="20"/>
        <v>8118498.2923707981</v>
      </c>
      <c r="E126" s="359">
        <f t="shared" si="20"/>
        <v>8117275.3038129751</v>
      </c>
      <c r="F126" s="359">
        <f t="shared" si="20"/>
        <v>8117262.9503931981</v>
      </c>
    </row>
    <row r="127" spans="1:6" ht="13.5" thickTop="1" x14ac:dyDescent="0.2">
      <c r="A127" s="25"/>
      <c r="B127" s="30"/>
      <c r="C127" s="30"/>
      <c r="D127" s="30"/>
      <c r="E127" s="30"/>
      <c r="F127" s="102"/>
    </row>
    <row r="128" spans="1:6" x14ac:dyDescent="0.2">
      <c r="A128" s="25" t="s">
        <v>159</v>
      </c>
      <c r="B128" s="360">
        <f>B17*B19</f>
        <v>4001946.6292433683</v>
      </c>
      <c r="C128" s="360">
        <f>C17*C19</f>
        <v>4090871.9107167465</v>
      </c>
      <c r="D128" s="360">
        <f>D17*D19</f>
        <v>4090871.9107167465</v>
      </c>
      <c r="E128" s="360">
        <f>E17*E19</f>
        <v>4090871.910716746</v>
      </c>
      <c r="F128" s="360">
        <f>F17*F19</f>
        <v>4090871.910716746</v>
      </c>
    </row>
    <row r="129" spans="1:12" x14ac:dyDescent="0.2">
      <c r="A129" s="46" t="s">
        <v>160</v>
      </c>
      <c r="B129" s="360">
        <f>B17*B20</f>
        <v>39926642.04638841</v>
      </c>
      <c r="C129" s="360">
        <f>C17*C20</f>
        <v>41952012.023251943</v>
      </c>
      <c r="D129" s="360">
        <f>D17*D20</f>
        <v>41952012.023251943</v>
      </c>
      <c r="E129" s="360">
        <f>E17*E20</f>
        <v>41954070.926547945</v>
      </c>
      <c r="F129" s="360">
        <f>F17*F20</f>
        <v>41954070.926547945</v>
      </c>
    </row>
    <row r="130" spans="1:12" x14ac:dyDescent="0.2">
      <c r="A130" s="25" t="s">
        <v>161</v>
      </c>
      <c r="B130" s="360">
        <f>B61*B63</f>
        <v>3492062.5512045454</v>
      </c>
      <c r="C130" s="360">
        <f>C61*C63</f>
        <v>3600091.1379400254</v>
      </c>
      <c r="D130" s="360">
        <f>D61*D63</f>
        <v>3600091.1379400254</v>
      </c>
      <c r="E130" s="360">
        <f>E61*E63</f>
        <v>3600091.1379400254</v>
      </c>
      <c r="F130" s="360">
        <f>F61*F63</f>
        <v>3600091.1379400254</v>
      </c>
    </row>
    <row r="131" spans="1:12" x14ac:dyDescent="0.2">
      <c r="A131" s="46" t="s">
        <v>162</v>
      </c>
      <c r="B131" s="360">
        <f>B61*B64</f>
        <v>0</v>
      </c>
      <c r="C131" s="360">
        <f>C61*C64</f>
        <v>0</v>
      </c>
      <c r="D131" s="360">
        <f>D61*D64</f>
        <v>0</v>
      </c>
      <c r="E131" s="360">
        <f>E61*E64</f>
        <v>0</v>
      </c>
      <c r="F131" s="360">
        <f>F61*F64</f>
        <v>0</v>
      </c>
    </row>
    <row r="132" spans="1:12" x14ac:dyDescent="0.2">
      <c r="A132" s="25" t="s">
        <v>163</v>
      </c>
      <c r="B132" s="360">
        <f>B78*B80</f>
        <v>6368937.1136016091</v>
      </c>
      <c r="C132" s="360">
        <f>C78*C80</f>
        <v>6580463.8426919691</v>
      </c>
      <c r="D132" s="360">
        <f>D78*D80</f>
        <v>6580463.8426919691</v>
      </c>
      <c r="E132" s="360">
        <f>E78*E80</f>
        <v>6580463.8426919691</v>
      </c>
      <c r="F132" s="360">
        <f>F78*F80</f>
        <v>6580463.8426919691</v>
      </c>
    </row>
    <row r="133" spans="1:12" x14ac:dyDescent="0.2">
      <c r="A133" s="46" t="s">
        <v>164</v>
      </c>
      <c r="B133" s="360">
        <f>B78*B81</f>
        <v>421497.58129236964</v>
      </c>
      <c r="C133" s="360">
        <f>C78*C81</f>
        <v>421497.58129236964</v>
      </c>
      <c r="D133" s="360">
        <f>D78*D81</f>
        <v>421497.58129236964</v>
      </c>
      <c r="E133" s="360">
        <f>E78*E81</f>
        <v>421497.58129236964</v>
      </c>
      <c r="F133" s="360">
        <f>F78*F81</f>
        <v>421497.58129236964</v>
      </c>
    </row>
    <row r="134" spans="1:12" x14ac:dyDescent="0.2">
      <c r="A134" s="25" t="s">
        <v>165</v>
      </c>
      <c r="B134" s="360">
        <f>B88-B129-B131-B133</f>
        <v>18024510.372319221</v>
      </c>
      <c r="C134" s="360">
        <f>C88-C129-C131-C133</f>
        <v>22876490.395455688</v>
      </c>
      <c r="D134" s="360">
        <f>D88-D129-D131-D133</f>
        <v>22876490.395455688</v>
      </c>
      <c r="E134" s="360">
        <f>E88-E129-E131-E133</f>
        <v>22874431.492159687</v>
      </c>
      <c r="F134" s="360">
        <f>F88-F129-F131-F133</f>
        <v>22874431.492159687</v>
      </c>
    </row>
    <row r="135" spans="1:12" ht="13.5" thickBot="1" x14ac:dyDescent="0.25">
      <c r="A135" s="35" t="s">
        <v>166</v>
      </c>
      <c r="B135" s="274">
        <f>(B128+B130+B132)/B134</f>
        <v>0.76911638694714635</v>
      </c>
      <c r="C135" s="274">
        <f>(C128+C130+C132)/C134</f>
        <v>0.62384686831961322</v>
      </c>
      <c r="D135" s="274">
        <f>(D128+D130+D132)/D134</f>
        <v>0.62384686831961322</v>
      </c>
      <c r="E135" s="274">
        <f>(E128+E130+E132)/E134</f>
        <v>0.62390302011397902</v>
      </c>
      <c r="F135" s="274">
        <f>(F128+F130+F132)/F134</f>
        <v>0.62390302011397902</v>
      </c>
    </row>
    <row r="136" spans="1:12" ht="16.5" thickTop="1" x14ac:dyDescent="0.25">
      <c r="A136" s="103" t="s">
        <v>167</v>
      </c>
    </row>
    <row r="140" spans="1:12" x14ac:dyDescent="0.2">
      <c r="A140" s="387" t="s">
        <v>450</v>
      </c>
      <c r="B140" s="387"/>
      <c r="C140" s="387"/>
      <c r="D140" s="387"/>
      <c r="E140" s="387"/>
      <c r="F140"/>
      <c r="G140"/>
      <c r="H140" s="387" t="s">
        <v>685</v>
      </c>
      <c r="I140" s="387"/>
      <c r="J140" s="387"/>
      <c r="K140" s="387"/>
      <c r="L140" s="387"/>
    </row>
    <row r="141" spans="1:12" x14ac:dyDescent="0.2">
      <c r="A141" s="361" t="s">
        <v>699</v>
      </c>
      <c r="B141" s="361" t="s">
        <v>700</v>
      </c>
      <c r="C141" s="361" t="s">
        <v>701</v>
      </c>
      <c r="D141" s="361" t="s">
        <v>702</v>
      </c>
      <c r="E141" s="361" t="s">
        <v>703</v>
      </c>
      <c r="F141"/>
      <c r="G141"/>
      <c r="H141" s="361" t="s">
        <v>699</v>
      </c>
      <c r="I141" s="361" t="s">
        <v>700</v>
      </c>
      <c r="J141" s="361" t="s">
        <v>701</v>
      </c>
      <c r="K141" s="361" t="s">
        <v>702</v>
      </c>
      <c r="L141" s="361" t="s">
        <v>703</v>
      </c>
    </row>
    <row r="142" spans="1:12" x14ac:dyDescent="0.2">
      <c r="A142" s="269">
        <v>0</v>
      </c>
      <c r="B142" s="269">
        <v>0</v>
      </c>
      <c r="C142" s="362">
        <f>B128+B130+B132</f>
        <v>13862946.294049524</v>
      </c>
      <c r="D142" s="362">
        <f>SUM(B142:C142)</f>
        <v>13862946.294049524</v>
      </c>
      <c r="E142" s="269">
        <v>0</v>
      </c>
      <c r="F142"/>
      <c r="G142"/>
      <c r="H142" s="269">
        <v>0</v>
      </c>
      <c r="I142" s="363">
        <v>0</v>
      </c>
      <c r="J142" s="364">
        <f>F128+F130+F132</f>
        <v>14271426.89134874</v>
      </c>
      <c r="K142" s="362">
        <f>I142+J142</f>
        <v>14271426.89134874</v>
      </c>
      <c r="L142" s="269">
        <v>0</v>
      </c>
    </row>
    <row r="143" spans="1:12" ht="14.25" x14ac:dyDescent="0.2">
      <c r="A143" s="363">
        <f>B86</f>
        <v>40257</v>
      </c>
      <c r="B143" s="363">
        <f>B129+B131+B133</f>
        <v>40348139.627680779</v>
      </c>
      <c r="C143" s="362">
        <f>B128+B130+B132</f>
        <v>13862946.294049524</v>
      </c>
      <c r="D143" s="362">
        <f>SUM(B143:C143)</f>
        <v>54211085.921730302</v>
      </c>
      <c r="E143" s="365">
        <f>B88</f>
        <v>58372650</v>
      </c>
      <c r="F143"/>
      <c r="G143"/>
      <c r="H143" s="363">
        <f>F86</f>
        <v>45000</v>
      </c>
      <c r="I143" s="366">
        <f>F129+F131+F133</f>
        <v>42375568.507840313</v>
      </c>
      <c r="J143" s="364">
        <f>F128+F130+F132</f>
        <v>14271426.89134874</v>
      </c>
      <c r="K143" s="362">
        <f>I143+J143</f>
        <v>56646995.399189055</v>
      </c>
      <c r="L143" s="365">
        <f>F88</f>
        <v>65250000</v>
      </c>
    </row>
  </sheetData>
  <sheetProtection selectLockedCells="1" selectUnlockedCells="1"/>
  <mergeCells count="2">
    <mergeCell ref="A140:E140"/>
    <mergeCell ref="H140:L140"/>
  </mergeCells>
  <pageMargins left="0.32013888888888886" right="0.75" top="0.17986111111111111" bottom="0.15972222222222221" header="0.51180555555555551" footer="0.51180555555555551"/>
  <pageSetup paperSize="9" firstPageNumber="0" fitToHeight="4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S186"/>
  <sheetViews>
    <sheetView workbookViewId="0"/>
  </sheetViews>
  <sheetFormatPr defaultColWidth="8.7109375" defaultRowHeight="12.75" x14ac:dyDescent="0.2"/>
  <cols>
    <col min="1" max="1" width="64.7109375" customWidth="1"/>
    <col min="2" max="2" width="15.7109375" customWidth="1"/>
    <col min="3" max="3" width="36.7109375" customWidth="1"/>
    <col min="4" max="4" width="15.7109375" customWidth="1"/>
    <col min="5" max="5" width="28.140625" customWidth="1"/>
    <col min="6" max="6" width="25" customWidth="1"/>
    <col min="7" max="7" width="22.7109375" customWidth="1"/>
    <col min="8" max="8" width="17.42578125" customWidth="1"/>
    <col min="9" max="9" width="17.140625" customWidth="1"/>
    <col min="10" max="10" width="22.7109375" customWidth="1"/>
    <col min="11" max="11" width="26.7109375" customWidth="1"/>
    <col min="12" max="12" width="22.7109375" customWidth="1"/>
    <col min="13" max="13" width="55" customWidth="1"/>
    <col min="14" max="14" width="12.85546875" customWidth="1"/>
    <col min="15" max="17" width="10.7109375" customWidth="1"/>
    <col min="18" max="18" width="30.28515625" bestFit="1" customWidth="1"/>
    <col min="19" max="256" width="10.7109375" customWidth="1"/>
  </cols>
  <sheetData>
    <row r="9" spans="1:13" x14ac:dyDescent="0.2">
      <c r="H9" s="268" t="s">
        <v>499</v>
      </c>
      <c r="I9" s="268" t="s">
        <v>500</v>
      </c>
      <c r="J9" s="268" t="s">
        <v>501</v>
      </c>
      <c r="K9" s="268" t="s">
        <v>502</v>
      </c>
      <c r="L9" s="268" t="s">
        <v>503</v>
      </c>
      <c r="M9" s="268" t="s">
        <v>504</v>
      </c>
    </row>
    <row r="10" spans="1:13" x14ac:dyDescent="0.2">
      <c r="A10" s="265" t="s">
        <v>505</v>
      </c>
      <c r="B10" s="265" t="s">
        <v>414</v>
      </c>
      <c r="C10" s="265" t="s">
        <v>506</v>
      </c>
      <c r="D10" s="265" t="s">
        <v>507</v>
      </c>
      <c r="E10" s="265" t="s">
        <v>508</v>
      </c>
      <c r="F10" s="265" t="s">
        <v>509</v>
      </c>
      <c r="H10" s="268" t="s">
        <v>510</v>
      </c>
      <c r="I10" s="268">
        <f>F16</f>
        <v>5683200</v>
      </c>
      <c r="J10" s="307">
        <v>45000</v>
      </c>
      <c r="K10" s="268">
        <f>I10/J10</f>
        <v>126.29333333333334</v>
      </c>
      <c r="L10" s="268">
        <v>737.75</v>
      </c>
    </row>
    <row r="11" spans="1:13" x14ac:dyDescent="0.2">
      <c r="A11" s="306" t="s">
        <v>648</v>
      </c>
      <c r="B11" s="265">
        <v>2</v>
      </c>
      <c r="C11" s="265">
        <v>1920</v>
      </c>
      <c r="D11" s="265">
        <v>200</v>
      </c>
      <c r="E11" s="265">
        <v>48</v>
      </c>
      <c r="F11" s="267">
        <f>(D11*(1+E11/100))*C11*B11</f>
        <v>1136640</v>
      </c>
      <c r="H11" s="268" t="s">
        <v>54</v>
      </c>
      <c r="I11">
        <f>F17</f>
        <v>5399040</v>
      </c>
      <c r="J11" s="307">
        <f>40707</f>
        <v>40707</v>
      </c>
      <c r="K11" s="268">
        <f>I11/J11</f>
        <v>132.63173409978629</v>
      </c>
      <c r="L11" t="s">
        <v>511</v>
      </c>
      <c r="M11">
        <f>J11*K10</f>
        <v>5141022.7199999997</v>
      </c>
    </row>
    <row r="12" spans="1:13" x14ac:dyDescent="0.2">
      <c r="A12" s="306" t="s">
        <v>649</v>
      </c>
      <c r="B12" s="265">
        <v>4</v>
      </c>
      <c r="C12" s="265">
        <v>1920</v>
      </c>
      <c r="D12" s="265">
        <v>200</v>
      </c>
      <c r="E12" s="265">
        <v>48</v>
      </c>
      <c r="F12" s="267">
        <f>(D12*(1+E12/100))*C12*B12</f>
        <v>2273280</v>
      </c>
    </row>
    <row r="13" spans="1:13" x14ac:dyDescent="0.2">
      <c r="A13" s="306" t="s">
        <v>513</v>
      </c>
      <c r="B13" s="265">
        <v>1</v>
      </c>
      <c r="C13" s="265">
        <v>1920</v>
      </c>
      <c r="D13" s="265">
        <v>200</v>
      </c>
      <c r="E13" s="265">
        <v>48</v>
      </c>
      <c r="F13" s="267">
        <f>(D13*(1+E13/100))*C13*B13</f>
        <v>568320</v>
      </c>
      <c r="H13" t="s">
        <v>512</v>
      </c>
    </row>
    <row r="14" spans="1:13" x14ac:dyDescent="0.2">
      <c r="A14" s="306" t="s">
        <v>650</v>
      </c>
      <c r="B14" s="265">
        <v>2</v>
      </c>
      <c r="C14" s="265">
        <v>1920</v>
      </c>
      <c r="D14" s="265">
        <v>200</v>
      </c>
      <c r="E14" s="265">
        <v>48</v>
      </c>
      <c r="F14" s="267">
        <f>(D14*(1+E14/100))*C14*B14</f>
        <v>1136640</v>
      </c>
      <c r="H14" s="268" t="s">
        <v>514</v>
      </c>
      <c r="I14">
        <f>(L10*K10)/2</f>
        <v>46586.453333333331</v>
      </c>
    </row>
    <row r="15" spans="1:13" x14ac:dyDescent="0.2">
      <c r="A15" s="306" t="s">
        <v>651</v>
      </c>
      <c r="B15" s="265">
        <v>1</v>
      </c>
      <c r="C15" s="265">
        <v>1920</v>
      </c>
      <c r="D15" s="265">
        <v>200</v>
      </c>
      <c r="E15" s="265">
        <v>48</v>
      </c>
      <c r="F15" s="267">
        <f>(D15*(1+E15/100))*C15*B15</f>
        <v>568320</v>
      </c>
      <c r="H15" s="268" t="s">
        <v>515</v>
      </c>
      <c r="I15">
        <f>I11-I14-M11</f>
        <v>211430.82666666713</v>
      </c>
    </row>
    <row r="16" spans="1:13" x14ac:dyDescent="0.2">
      <c r="D16" s="268"/>
      <c r="E16" s="268" t="s">
        <v>516</v>
      </c>
      <c r="F16" s="268">
        <f>SUM(F11:F15)</f>
        <v>5683200</v>
      </c>
    </row>
    <row r="17" spans="1:12" x14ac:dyDescent="0.2">
      <c r="D17" s="268" t="s">
        <v>695</v>
      </c>
      <c r="E17" s="268" t="s">
        <v>517</v>
      </c>
      <c r="F17" s="268">
        <f>0.95*F16</f>
        <v>5399040</v>
      </c>
    </row>
    <row r="18" spans="1:12" ht="25.5" x14ac:dyDescent="0.2">
      <c r="A18" s="265" t="s">
        <v>518</v>
      </c>
      <c r="B18" s="265" t="s">
        <v>519</v>
      </c>
      <c r="C18" s="266" t="s">
        <v>520</v>
      </c>
      <c r="D18" s="266" t="s">
        <v>521</v>
      </c>
      <c r="E18" s="265" t="s">
        <v>509</v>
      </c>
      <c r="H18" s="268" t="s">
        <v>522</v>
      </c>
      <c r="I18" s="268" t="s">
        <v>523</v>
      </c>
      <c r="J18" s="268" t="s">
        <v>501</v>
      </c>
      <c r="K18" s="268" t="s">
        <v>502</v>
      </c>
      <c r="L18" s="268" t="s">
        <v>524</v>
      </c>
    </row>
    <row r="19" spans="1:12" x14ac:dyDescent="0.2">
      <c r="A19" s="307" t="s">
        <v>652</v>
      </c>
      <c r="B19">
        <v>45000</v>
      </c>
      <c r="C19">
        <v>48</v>
      </c>
      <c r="D19">
        <v>1</v>
      </c>
      <c r="E19">
        <f>B19*12*D19*(1+C19/100)</f>
        <v>799200</v>
      </c>
      <c r="H19" t="s">
        <v>510</v>
      </c>
      <c r="I19">
        <f>E20</f>
        <v>799200</v>
      </c>
      <c r="J19" s="307">
        <v>45000</v>
      </c>
      <c r="K19">
        <f>I19/J19</f>
        <v>17.760000000000002</v>
      </c>
      <c r="L19" s="268">
        <v>737.65</v>
      </c>
    </row>
    <row r="20" spans="1:12" x14ac:dyDescent="0.2">
      <c r="D20" t="s">
        <v>516</v>
      </c>
      <c r="E20">
        <f>E19</f>
        <v>799200</v>
      </c>
      <c r="H20" t="s">
        <v>54</v>
      </c>
      <c r="I20">
        <f>E21</f>
        <v>759240</v>
      </c>
      <c r="J20" s="307">
        <v>40707</v>
      </c>
      <c r="K20">
        <f>I20/J20</f>
        <v>18.651337607782445</v>
      </c>
      <c r="L20" s="268">
        <v>737.65</v>
      </c>
    </row>
    <row r="21" spans="1:12" x14ac:dyDescent="0.2">
      <c r="A21" t="s">
        <v>525</v>
      </c>
      <c r="D21" t="s">
        <v>517</v>
      </c>
      <c r="E21">
        <f>0.95*E20</f>
        <v>759240</v>
      </c>
      <c r="H21" t="s">
        <v>526</v>
      </c>
      <c r="L21" t="s">
        <v>511</v>
      </c>
    </row>
    <row r="22" spans="1:12" x14ac:dyDescent="0.2">
      <c r="H22" t="s">
        <v>527</v>
      </c>
      <c r="I22">
        <f>(K20*L20)/2</f>
        <v>6879.0795931903604</v>
      </c>
    </row>
    <row r="23" spans="1:12" ht="25.5" x14ac:dyDescent="0.2">
      <c r="A23" s="265" t="s">
        <v>528</v>
      </c>
      <c r="B23" s="265" t="s">
        <v>519</v>
      </c>
      <c r="C23" s="266" t="s">
        <v>520</v>
      </c>
      <c r="D23" s="266" t="s">
        <v>521</v>
      </c>
      <c r="E23" s="265" t="s">
        <v>509</v>
      </c>
      <c r="H23" s="268" t="s">
        <v>514</v>
      </c>
      <c r="I23">
        <f>(K19*L19)/2</f>
        <v>6550.3320000000003</v>
      </c>
    </row>
    <row r="24" spans="1:12" x14ac:dyDescent="0.2">
      <c r="A24" s="308" t="s">
        <v>653</v>
      </c>
      <c r="B24" s="265">
        <v>80000</v>
      </c>
      <c r="C24" s="265">
        <v>48</v>
      </c>
      <c r="D24" s="270">
        <v>1</v>
      </c>
      <c r="E24" s="265">
        <f>B24*12*D24*(1+C24/100)</f>
        <v>1420800</v>
      </c>
      <c r="G24" t="s">
        <v>529</v>
      </c>
    </row>
    <row r="25" spans="1:12" x14ac:dyDescent="0.2">
      <c r="A25" s="308" t="s">
        <v>654</v>
      </c>
      <c r="B25" s="265">
        <v>32000</v>
      </c>
      <c r="C25" s="265">
        <v>48</v>
      </c>
      <c r="D25" s="265">
        <v>1</v>
      </c>
      <c r="E25" s="265">
        <f>B25*12*D25*(1+C25/100)</f>
        <v>568320</v>
      </c>
    </row>
    <row r="26" spans="1:12" x14ac:dyDescent="0.2">
      <c r="D26" t="s">
        <v>530</v>
      </c>
      <c r="E26">
        <f>SUM(E24:E25)</f>
        <v>1989120</v>
      </c>
    </row>
    <row r="27" spans="1:12" x14ac:dyDescent="0.2">
      <c r="A27" t="s">
        <v>525</v>
      </c>
      <c r="D27" t="s">
        <v>517</v>
      </c>
      <c r="E27">
        <f>E26*0.95</f>
        <v>1889664</v>
      </c>
    </row>
    <row r="31" spans="1:12" ht="25.5" x14ac:dyDescent="0.2">
      <c r="A31" s="265" t="s">
        <v>531</v>
      </c>
      <c r="B31" s="265" t="s">
        <v>519</v>
      </c>
      <c r="C31" s="266" t="s">
        <v>520</v>
      </c>
      <c r="D31" s="266" t="s">
        <v>521</v>
      </c>
      <c r="E31" s="265" t="s">
        <v>509</v>
      </c>
    </row>
    <row r="32" spans="1:12" x14ac:dyDescent="0.2">
      <c r="A32" s="308" t="s">
        <v>655</v>
      </c>
      <c r="B32" s="265">
        <v>55000</v>
      </c>
      <c r="C32" s="265">
        <v>48</v>
      </c>
      <c r="D32" s="265">
        <v>1</v>
      </c>
      <c r="E32" s="265">
        <f>B32*12*D32*(1+C32/100)</f>
        <v>976800</v>
      </c>
    </row>
    <row r="33" spans="1:11" x14ac:dyDescent="0.2">
      <c r="A33" s="308" t="s">
        <v>656</v>
      </c>
      <c r="B33" s="265">
        <v>40000</v>
      </c>
      <c r="C33" s="265">
        <v>48</v>
      </c>
      <c r="D33" s="265">
        <v>2</v>
      </c>
      <c r="E33" s="265">
        <f>B33*12*D33*(1+C33/100)</f>
        <v>1420800</v>
      </c>
    </row>
    <row r="34" spans="1:11" x14ac:dyDescent="0.2">
      <c r="A34" s="308" t="s">
        <v>657</v>
      </c>
      <c r="B34" s="265">
        <v>45000</v>
      </c>
      <c r="C34" s="265">
        <v>48</v>
      </c>
      <c r="D34" s="265">
        <v>2</v>
      </c>
      <c r="E34" s="265">
        <f>B34*12*D34*(1+C34/100)</f>
        <v>1598400</v>
      </c>
    </row>
    <row r="35" spans="1:11" x14ac:dyDescent="0.2">
      <c r="D35" t="s">
        <v>516</v>
      </c>
      <c r="E35">
        <f>SUM(E32:E34)</f>
        <v>3996000</v>
      </c>
    </row>
    <row r="36" spans="1:11" x14ac:dyDescent="0.2">
      <c r="A36" t="s">
        <v>525</v>
      </c>
      <c r="D36" t="s">
        <v>517</v>
      </c>
      <c r="E36">
        <f>E35*0.95</f>
        <v>3796200</v>
      </c>
    </row>
    <row r="37" spans="1:11" x14ac:dyDescent="0.2">
      <c r="F37" t="s">
        <v>532</v>
      </c>
      <c r="G37" t="s">
        <v>533</v>
      </c>
      <c r="H37" t="s">
        <v>534</v>
      </c>
      <c r="I37" t="s">
        <v>535</v>
      </c>
      <c r="J37" s="268" t="s">
        <v>503</v>
      </c>
      <c r="K37" t="s">
        <v>158</v>
      </c>
    </row>
    <row r="38" spans="1:11" x14ac:dyDescent="0.2">
      <c r="E38" t="s">
        <v>536</v>
      </c>
      <c r="F38" t="s">
        <v>537</v>
      </c>
      <c r="G38" s="307">
        <f>'E-Costos'!B10</f>
        <v>2065591.763968</v>
      </c>
      <c r="H38" s="307">
        <v>40707</v>
      </c>
      <c r="I38">
        <f>G38/H38</f>
        <v>50.742913109981082</v>
      </c>
      <c r="J38" s="268">
        <v>737.65</v>
      </c>
      <c r="K38">
        <f>(I38*J38)/2</f>
        <v>18715.25492778877</v>
      </c>
    </row>
    <row r="39" spans="1:11" x14ac:dyDescent="0.2">
      <c r="A39" t="s">
        <v>538</v>
      </c>
      <c r="B39" t="s">
        <v>539</v>
      </c>
      <c r="C39" t="s">
        <v>540</v>
      </c>
      <c r="D39" t="s">
        <v>541</v>
      </c>
      <c r="F39" t="s">
        <v>542</v>
      </c>
      <c r="G39" s="307">
        <f>'E-Costos'!C10</f>
        <v>2065591.763968</v>
      </c>
      <c r="H39" s="307">
        <v>45000</v>
      </c>
      <c r="I39">
        <f>G39/H39</f>
        <v>45.902039199288886</v>
      </c>
      <c r="J39" s="268">
        <v>737.65</v>
      </c>
      <c r="K39">
        <f>(I39*J39)/2</f>
        <v>16929.819607677724</v>
      </c>
    </row>
    <row r="40" spans="1:11" x14ac:dyDescent="0.2">
      <c r="B40" s="271"/>
      <c r="F40" t="s">
        <v>543</v>
      </c>
      <c r="G40" s="307">
        <f>'E-Costos'!E10</f>
        <v>2065591.763968</v>
      </c>
      <c r="H40" s="307">
        <v>45000</v>
      </c>
      <c r="I40">
        <f>G40/H40</f>
        <v>45.902039199288886</v>
      </c>
      <c r="J40" s="268">
        <v>737.65</v>
      </c>
      <c r="K40">
        <f>(I40*J40)/2</f>
        <v>16929.819607677724</v>
      </c>
    </row>
    <row r="42" spans="1:11" x14ac:dyDescent="0.2">
      <c r="A42" s="272" t="s">
        <v>544</v>
      </c>
      <c r="B42" s="268" t="s">
        <v>315</v>
      </c>
      <c r="C42" s="268" t="s">
        <v>545</v>
      </c>
      <c r="E42" s="272" t="s">
        <v>546</v>
      </c>
      <c r="F42" s="268" t="s">
        <v>315</v>
      </c>
      <c r="G42" s="268" t="s">
        <v>545</v>
      </c>
      <c r="I42" s="272" t="s">
        <v>547</v>
      </c>
      <c r="J42" t="s">
        <v>315</v>
      </c>
      <c r="K42" t="s">
        <v>545</v>
      </c>
    </row>
    <row r="43" spans="1:11" x14ac:dyDescent="0.2">
      <c r="A43" t="s">
        <v>548</v>
      </c>
      <c r="B43" s="273">
        <v>0.02</v>
      </c>
      <c r="C43" t="s">
        <v>549</v>
      </c>
      <c r="E43" t="s">
        <v>548</v>
      </c>
      <c r="F43" s="273">
        <v>0.02</v>
      </c>
      <c r="G43" s="268" t="s">
        <v>549</v>
      </c>
      <c r="I43" t="s">
        <v>548</v>
      </c>
      <c r="J43" s="274">
        <v>1.4999999999999999E-2</v>
      </c>
      <c r="K43" s="268" t="s">
        <v>549</v>
      </c>
    </row>
    <row r="44" spans="1:11" x14ac:dyDescent="0.2">
      <c r="A44" t="s">
        <v>550</v>
      </c>
      <c r="B44" s="273">
        <v>0.03</v>
      </c>
      <c r="C44" t="s">
        <v>88</v>
      </c>
      <c r="E44" t="s">
        <v>551</v>
      </c>
      <c r="F44" s="273">
        <v>0.01</v>
      </c>
      <c r="G44" s="268" t="s">
        <v>552</v>
      </c>
      <c r="I44" t="s">
        <v>551</v>
      </c>
      <c r="J44" s="273">
        <v>0.02</v>
      </c>
      <c r="K44" s="268" t="s">
        <v>552</v>
      </c>
    </row>
    <row r="45" spans="1:11" x14ac:dyDescent="0.2">
      <c r="A45" t="s">
        <v>534</v>
      </c>
      <c r="B45" s="273">
        <v>0.02</v>
      </c>
      <c r="C45" t="s">
        <v>553</v>
      </c>
      <c r="E45" t="s">
        <v>554</v>
      </c>
      <c r="F45" s="273">
        <v>0.02</v>
      </c>
      <c r="G45" s="268" t="s">
        <v>555</v>
      </c>
      <c r="I45" t="s">
        <v>554</v>
      </c>
      <c r="J45" s="273">
        <v>0.02</v>
      </c>
      <c r="K45" s="268" t="s">
        <v>555</v>
      </c>
    </row>
    <row r="46" spans="1:11" x14ac:dyDescent="0.2">
      <c r="A46" t="s">
        <v>126</v>
      </c>
      <c r="B46" s="273">
        <v>0.03</v>
      </c>
      <c r="C46" t="s">
        <v>556</v>
      </c>
    </row>
    <row r="48" spans="1:11" x14ac:dyDescent="0.2">
      <c r="A48" t="s">
        <v>557</v>
      </c>
      <c r="B48" s="309">
        <v>3104</v>
      </c>
      <c r="C48" t="s">
        <v>558</v>
      </c>
      <c r="D48" t="s">
        <v>559</v>
      </c>
      <c r="E48" t="s">
        <v>560</v>
      </c>
      <c r="F48" t="s">
        <v>561</v>
      </c>
      <c r="G48" s="275"/>
      <c r="H48" t="s">
        <v>658</v>
      </c>
    </row>
    <row r="49" spans="1:15" x14ac:dyDescent="0.2">
      <c r="A49" t="s">
        <v>562</v>
      </c>
      <c r="B49" s="309">
        <f>(B48/160)*1.2</f>
        <v>23.279999999999998</v>
      </c>
      <c r="C49" t="s">
        <v>563</v>
      </c>
      <c r="D49" s="307">
        <v>1069.6300000000001</v>
      </c>
      <c r="E49" s="307">
        <v>497.15</v>
      </c>
      <c r="F49" s="307">
        <v>2.403</v>
      </c>
    </row>
    <row r="50" spans="1:15" x14ac:dyDescent="0.2">
      <c r="B50" s="276"/>
      <c r="D50" t="s">
        <v>564</v>
      </c>
      <c r="E50" t="s">
        <v>565</v>
      </c>
      <c r="F50" t="s">
        <v>566</v>
      </c>
    </row>
    <row r="51" spans="1:15" x14ac:dyDescent="0.2">
      <c r="A51" t="s">
        <v>567</v>
      </c>
      <c r="B51" s="277">
        <f>(D49+E49*B49+F49*B48)*11.5</f>
        <v>231175.231</v>
      </c>
    </row>
    <row r="52" spans="1:15" x14ac:dyDescent="0.2">
      <c r="A52" t="s">
        <v>568</v>
      </c>
      <c r="B52" s="268" t="s">
        <v>569</v>
      </c>
      <c r="C52">
        <f>0.9*B51</f>
        <v>208057.70790000001</v>
      </c>
      <c r="E52" s="278" t="s">
        <v>570</v>
      </c>
      <c r="F52" s="274">
        <f>(D49+E49*B49)*11.5/B51</f>
        <v>0.62895035238442132</v>
      </c>
      <c r="G52" s="268"/>
      <c r="I52" s="268" t="s">
        <v>571</v>
      </c>
      <c r="J52" s="268" t="s">
        <v>315</v>
      </c>
      <c r="K52" s="268" t="s">
        <v>545</v>
      </c>
    </row>
    <row r="53" spans="1:15" x14ac:dyDescent="0.2">
      <c r="A53" t="s">
        <v>572</v>
      </c>
      <c r="B53" s="268" t="s">
        <v>573</v>
      </c>
      <c r="C53">
        <f>0.05*B51</f>
        <v>11558.761550000001</v>
      </c>
      <c r="E53" s="278" t="s">
        <v>574</v>
      </c>
      <c r="F53" s="274">
        <f>F49*B48*11.5/B51</f>
        <v>0.37104964761557868</v>
      </c>
    </row>
    <row r="54" spans="1:15" x14ac:dyDescent="0.2">
      <c r="A54" t="s">
        <v>575</v>
      </c>
      <c r="B54" s="268" t="s">
        <v>573</v>
      </c>
      <c r="C54">
        <f>0.05*B51</f>
        <v>11558.761550000001</v>
      </c>
      <c r="M54" t="s">
        <v>576</v>
      </c>
    </row>
    <row r="55" spans="1:15" x14ac:dyDescent="0.2">
      <c r="M55" t="s">
        <v>577</v>
      </c>
      <c r="N55" s="307">
        <v>45000</v>
      </c>
    </row>
    <row r="56" spans="1:15" x14ac:dyDescent="0.2">
      <c r="A56" t="s">
        <v>537</v>
      </c>
      <c r="B56" s="276">
        <v>0.7</v>
      </c>
      <c r="M56" t="s">
        <v>502</v>
      </c>
      <c r="N56">
        <f>C52/N55</f>
        <v>4.6235046200000003</v>
      </c>
      <c r="O56" t="s">
        <v>578</v>
      </c>
    </row>
    <row r="57" spans="1:15" x14ac:dyDescent="0.2">
      <c r="A57" t="s">
        <v>567</v>
      </c>
      <c r="B57">
        <f>0.9*B51</f>
        <v>208057.70790000001</v>
      </c>
      <c r="M57" t="s">
        <v>579</v>
      </c>
      <c r="N57" s="309">
        <v>737.65</v>
      </c>
      <c r="O57" t="s">
        <v>580</v>
      </c>
    </row>
    <row r="58" spans="1:15" x14ac:dyDescent="0.2">
      <c r="A58" t="s">
        <v>568</v>
      </c>
      <c r="B58">
        <f>0.9*B57</f>
        <v>187251.93711</v>
      </c>
      <c r="M58" t="s">
        <v>581</v>
      </c>
      <c r="N58">
        <f>N57*N56/2</f>
        <v>1705.2640914715</v>
      </c>
    </row>
    <row r="59" spans="1:15" x14ac:dyDescent="0.2">
      <c r="A59" t="s">
        <v>572</v>
      </c>
      <c r="B59">
        <f>0.05*B57</f>
        <v>10402.885395000001</v>
      </c>
    </row>
    <row r="60" spans="1:15" x14ac:dyDescent="0.2">
      <c r="A60" t="s">
        <v>575</v>
      </c>
      <c r="B60">
        <f>0.05*B57</f>
        <v>10402.885395000001</v>
      </c>
    </row>
    <row r="62" spans="1:15" x14ac:dyDescent="0.2">
      <c r="A62" t="s">
        <v>546</v>
      </c>
      <c r="B62" t="s">
        <v>582</v>
      </c>
      <c r="C62" t="s">
        <v>583</v>
      </c>
      <c r="M62" t="s">
        <v>584</v>
      </c>
      <c r="N62" s="307">
        <v>40707</v>
      </c>
    </row>
    <row r="63" spans="1:15" x14ac:dyDescent="0.2">
      <c r="A63" t="s">
        <v>548</v>
      </c>
      <c r="B63" s="307">
        <f>0.05*0.02*'E-Inv AF y Am'!B20</f>
        <v>34384.705804799996</v>
      </c>
      <c r="C63">
        <f>0.9*B63</f>
        <v>30946.235224319997</v>
      </c>
      <c r="M63" t="s">
        <v>585</v>
      </c>
      <c r="N63">
        <f>N62*N56</f>
        <v>188209.00256634</v>
      </c>
    </row>
    <row r="64" spans="1:15" x14ac:dyDescent="0.2">
      <c r="A64" t="s">
        <v>551</v>
      </c>
      <c r="B64" s="272">
        <v>0</v>
      </c>
      <c r="C64" s="272">
        <f>0.9*B64</f>
        <v>0</v>
      </c>
      <c r="D64" t="s">
        <v>586</v>
      </c>
      <c r="M64" t="s">
        <v>581</v>
      </c>
      <c r="N64">
        <f>N57*N56/2</f>
        <v>1705.2640914715</v>
      </c>
    </row>
    <row r="65" spans="1:14" x14ac:dyDescent="0.2">
      <c r="A65" t="s">
        <v>554</v>
      </c>
      <c r="B65" s="307">
        <f>0.02*E26</f>
        <v>39782.400000000001</v>
      </c>
      <c r="C65">
        <f>0.9*B65</f>
        <v>35804.160000000003</v>
      </c>
      <c r="M65" t="s">
        <v>587</v>
      </c>
      <c r="N65">
        <f>C52-N63-N64</f>
        <v>18143.441242188506</v>
      </c>
    </row>
    <row r="66" spans="1:14" x14ac:dyDescent="0.2">
      <c r="A66" t="s">
        <v>158</v>
      </c>
      <c r="B66">
        <f>SUM(B63:B65)</f>
        <v>74167.105804799998</v>
      </c>
      <c r="C66">
        <f>SUM(C63:C65)</f>
        <v>66750.395224320004</v>
      </c>
    </row>
    <row r="68" spans="1:14" x14ac:dyDescent="0.2">
      <c r="A68" t="s">
        <v>547</v>
      </c>
      <c r="B68" t="s">
        <v>582</v>
      </c>
      <c r="C68" t="s">
        <v>583</v>
      </c>
      <c r="M68" s="279"/>
    </row>
    <row r="69" spans="1:14" x14ac:dyDescent="0.2">
      <c r="A69" t="s">
        <v>548</v>
      </c>
      <c r="B69" s="307">
        <f>0.015*0.05*'E-Inv AF y Am'!B20</f>
        <v>25788.529353599999</v>
      </c>
      <c r="C69">
        <f>0.9*B69</f>
        <v>23209.67641824</v>
      </c>
    </row>
    <row r="70" spans="1:14" x14ac:dyDescent="0.2">
      <c r="A70" t="s">
        <v>551</v>
      </c>
      <c r="B70" s="272">
        <v>0</v>
      </c>
      <c r="C70" s="272">
        <f>0.9*B70</f>
        <v>0</v>
      </c>
      <c r="D70" t="s">
        <v>586</v>
      </c>
    </row>
    <row r="71" spans="1:14" x14ac:dyDescent="0.2">
      <c r="A71" t="s">
        <v>554</v>
      </c>
      <c r="B71" s="307">
        <f>0.02*E35</f>
        <v>79920</v>
      </c>
      <c r="C71">
        <f>0.9*B71</f>
        <v>71928</v>
      </c>
    </row>
    <row r="72" spans="1:14" x14ac:dyDescent="0.2">
      <c r="A72" t="s">
        <v>158</v>
      </c>
      <c r="B72">
        <f>SUM(B69:B71)</f>
        <v>105708.5293536</v>
      </c>
      <c r="C72">
        <f>SUM(C69:C71)</f>
        <v>95137.676418240007</v>
      </c>
    </row>
    <row r="74" spans="1:14" x14ac:dyDescent="0.2">
      <c r="A74" s="268" t="s">
        <v>571</v>
      </c>
      <c r="B74" s="268" t="s">
        <v>588</v>
      </c>
      <c r="C74" s="268"/>
      <c r="E74" t="s">
        <v>589</v>
      </c>
      <c r="F74" s="268" t="s">
        <v>315</v>
      </c>
      <c r="G74" s="268" t="s">
        <v>588</v>
      </c>
    </row>
    <row r="75" spans="1:14" x14ac:dyDescent="0.2">
      <c r="A75" t="s">
        <v>590</v>
      </c>
      <c r="B75" s="307">
        <v>40000</v>
      </c>
      <c r="E75" t="s">
        <v>591</v>
      </c>
      <c r="F75" s="276">
        <v>0.05</v>
      </c>
      <c r="G75" s="311">
        <f>150000*0.05</f>
        <v>7500</v>
      </c>
    </row>
    <row r="76" spans="1:14" x14ac:dyDescent="0.2">
      <c r="A76" t="s">
        <v>592</v>
      </c>
      <c r="B76" s="307">
        <v>35000</v>
      </c>
      <c r="C76" t="s">
        <v>659</v>
      </c>
      <c r="E76" t="s">
        <v>594</v>
      </c>
      <c r="F76" s="274">
        <v>5.0000000000000001E-4</v>
      </c>
      <c r="G76" s="307">
        <f>45000*1450*0.0005</f>
        <v>32625</v>
      </c>
    </row>
    <row r="77" spans="1:14" x14ac:dyDescent="0.2">
      <c r="A77" t="s">
        <v>595</v>
      </c>
      <c r="B77" s="307">
        <v>13000</v>
      </c>
      <c r="E77" t="s">
        <v>596</v>
      </c>
      <c r="F77" s="274">
        <v>1.2999999999999999E-2</v>
      </c>
      <c r="G77" s="307">
        <f>45000*1450*0.013</f>
        <v>848250</v>
      </c>
    </row>
    <row r="78" spans="1:14" x14ac:dyDescent="0.2">
      <c r="A78" t="s">
        <v>597</v>
      </c>
      <c r="B78" s="307">
        <v>32000</v>
      </c>
      <c r="E78" t="s">
        <v>158</v>
      </c>
      <c r="G78">
        <f>SUM(G75:G77)</f>
        <v>888375</v>
      </c>
    </row>
    <row r="79" spans="1:14" x14ac:dyDescent="0.2">
      <c r="A79" t="s">
        <v>158</v>
      </c>
      <c r="B79">
        <f>SUM(B75:B78)</f>
        <v>120000</v>
      </c>
    </row>
    <row r="81" spans="1:19" x14ac:dyDescent="0.2">
      <c r="A81" s="268" t="s">
        <v>598</v>
      </c>
      <c r="B81" s="268" t="s">
        <v>588</v>
      </c>
      <c r="E81" t="s">
        <v>599</v>
      </c>
      <c r="F81" s="268" t="s">
        <v>315</v>
      </c>
      <c r="G81" s="268" t="s">
        <v>588</v>
      </c>
    </row>
    <row r="82" spans="1:19" x14ac:dyDescent="0.2">
      <c r="A82" t="s">
        <v>590</v>
      </c>
      <c r="B82" s="307">
        <v>40000</v>
      </c>
      <c r="E82" t="s">
        <v>600</v>
      </c>
      <c r="F82" s="276">
        <v>0.03</v>
      </c>
      <c r="G82" s="307">
        <f>45000*1450*0.03</f>
        <v>1957500</v>
      </c>
    </row>
    <row r="83" spans="1:19" x14ac:dyDescent="0.2">
      <c r="A83" t="s">
        <v>592</v>
      </c>
      <c r="B83" s="307">
        <v>35000</v>
      </c>
      <c r="C83" t="s">
        <v>593</v>
      </c>
      <c r="E83" t="s">
        <v>158</v>
      </c>
      <c r="G83" s="307">
        <f>G82</f>
        <v>1957500</v>
      </c>
    </row>
    <row r="84" spans="1:19" x14ac:dyDescent="0.2">
      <c r="A84" t="s">
        <v>595</v>
      </c>
      <c r="B84" s="307">
        <v>13000</v>
      </c>
    </row>
    <row r="85" spans="1:19" x14ac:dyDescent="0.2">
      <c r="A85" t="s">
        <v>597</v>
      </c>
      <c r="B85" s="307">
        <v>32000</v>
      </c>
    </row>
    <row r="86" spans="1:19" x14ac:dyDescent="0.2">
      <c r="A86" t="s">
        <v>601</v>
      </c>
      <c r="B86" s="307">
        <v>50000</v>
      </c>
    </row>
    <row r="87" spans="1:19" x14ac:dyDescent="0.2">
      <c r="A87" t="s">
        <v>158</v>
      </c>
      <c r="B87">
        <f>SUM(B82:B86)</f>
        <v>170000</v>
      </c>
    </row>
    <row r="88" spans="1:19" x14ac:dyDescent="0.2">
      <c r="A88" s="280"/>
      <c r="B88" s="280"/>
      <c r="C88" s="280"/>
      <c r="D88" s="280"/>
      <c r="E88" s="280"/>
      <c r="F88" s="280"/>
      <c r="G88" s="280"/>
      <c r="H88" s="280"/>
      <c r="I88" s="280"/>
      <c r="J88" s="280"/>
      <c r="K88" s="280"/>
      <c r="L88" s="280"/>
      <c r="M88" s="280"/>
      <c r="N88" s="280"/>
      <c r="O88" s="280"/>
      <c r="P88" s="280"/>
      <c r="Q88" s="280"/>
      <c r="R88" s="280"/>
      <c r="S88" s="280"/>
    </row>
    <row r="89" spans="1:19" x14ac:dyDescent="0.2">
      <c r="N89" t="s">
        <v>238</v>
      </c>
      <c r="O89" t="s">
        <v>602</v>
      </c>
      <c r="P89" t="s">
        <v>534</v>
      </c>
    </row>
    <row r="90" spans="1:19" x14ac:dyDescent="0.2">
      <c r="N90" s="271">
        <v>1</v>
      </c>
      <c r="O90" s="307">
        <v>45643</v>
      </c>
      <c r="P90" s="307">
        <v>40707</v>
      </c>
    </row>
    <row r="91" spans="1:19" x14ac:dyDescent="0.2">
      <c r="A91" s="281" t="s">
        <v>603</v>
      </c>
      <c r="N91" s="282" t="s">
        <v>604</v>
      </c>
      <c r="O91" s="307">
        <v>47944</v>
      </c>
      <c r="P91" s="307">
        <v>45000</v>
      </c>
    </row>
    <row r="93" spans="1:19" x14ac:dyDescent="0.2">
      <c r="M93" s="283" t="s">
        <v>605</v>
      </c>
    </row>
    <row r="94" spans="1:19" x14ac:dyDescent="0.2">
      <c r="M94" t="s">
        <v>606</v>
      </c>
      <c r="N94">
        <f>O91/N127</f>
        <v>1.0654222222222223</v>
      </c>
    </row>
    <row r="95" spans="1:19" x14ac:dyDescent="0.2">
      <c r="M95" t="s">
        <v>607</v>
      </c>
      <c r="N95" s="307">
        <f>O91*'Info-InvAT'!D13</f>
        <v>34447764</v>
      </c>
      <c r="O95" t="s">
        <v>608</v>
      </c>
    </row>
    <row r="96" spans="1:19" x14ac:dyDescent="0.2">
      <c r="M96" t="s">
        <v>502</v>
      </c>
      <c r="N96">
        <f>N95/N127</f>
        <v>765.50586666666663</v>
      </c>
    </row>
    <row r="100" spans="13:15" x14ac:dyDescent="0.2">
      <c r="M100" s="283" t="s">
        <v>54</v>
      </c>
    </row>
    <row r="102" spans="13:15" x14ac:dyDescent="0.2">
      <c r="M102" t="s">
        <v>609</v>
      </c>
      <c r="N102">
        <f>O90</f>
        <v>45643</v>
      </c>
    </row>
    <row r="103" spans="13:15" x14ac:dyDescent="0.2">
      <c r="M103" t="s">
        <v>610</v>
      </c>
      <c r="N103">
        <f>P90*N94</f>
        <v>43370.142400000004</v>
      </c>
    </row>
    <row r="104" spans="13:15" x14ac:dyDescent="0.2">
      <c r="M104" t="s">
        <v>611</v>
      </c>
      <c r="N104" s="307">
        <v>786</v>
      </c>
      <c r="O104" t="s">
        <v>580</v>
      </c>
    </row>
    <row r="105" spans="13:15" x14ac:dyDescent="0.2">
      <c r="M105" t="s">
        <v>612</v>
      </c>
      <c r="N105">
        <f>N102-N103-N104</f>
        <v>1486.8575999999957</v>
      </c>
    </row>
    <row r="108" spans="13:15" x14ac:dyDescent="0.2">
      <c r="M108" t="s">
        <v>613</v>
      </c>
      <c r="N108" s="307">
        <f>N104*'Info-InvAT'!D13</f>
        <v>564741</v>
      </c>
    </row>
    <row r="109" spans="13:15" x14ac:dyDescent="0.2">
      <c r="M109" t="s">
        <v>614</v>
      </c>
      <c r="N109" s="351">
        <f>N105*'Info-InvAT'!D13</f>
        <v>1068307.1855999969</v>
      </c>
    </row>
    <row r="114" spans="1:19" x14ac:dyDescent="0.2">
      <c r="M114" s="279" t="s">
        <v>615</v>
      </c>
    </row>
    <row r="119" spans="1:19" x14ac:dyDescent="0.2">
      <c r="A119" s="281" t="s">
        <v>616</v>
      </c>
    </row>
    <row r="120" spans="1:19" ht="13.5" thickBot="1" x14ac:dyDescent="0.25">
      <c r="A120" t="s">
        <v>617</v>
      </c>
    </row>
    <row r="121" spans="1:19" x14ac:dyDescent="0.2">
      <c r="A121" s="284"/>
      <c r="B121" s="285"/>
      <c r="C121" s="285" t="s">
        <v>618</v>
      </c>
      <c r="D121" s="285" t="s">
        <v>619</v>
      </c>
      <c r="E121" s="285" t="s">
        <v>618</v>
      </c>
      <c r="F121" s="285" t="s">
        <v>54</v>
      </c>
      <c r="G121" s="285" t="s">
        <v>542</v>
      </c>
      <c r="H121" s="286" t="s">
        <v>543</v>
      </c>
      <c r="N121" s="279" t="s">
        <v>620</v>
      </c>
    </row>
    <row r="122" spans="1:19" x14ac:dyDescent="0.2">
      <c r="A122" s="287" t="s">
        <v>548</v>
      </c>
      <c r="B122" s="274">
        <v>0.01</v>
      </c>
      <c r="C122" t="s">
        <v>621</v>
      </c>
      <c r="H122" s="352">
        <f>'E-Inv AF y Am'!B20*'Info-Costos'!B131*'Info-Costos'!B122</f>
        <v>309462.3522432</v>
      </c>
    </row>
    <row r="123" spans="1:19" x14ac:dyDescent="0.2">
      <c r="A123" s="287" t="s">
        <v>88</v>
      </c>
      <c r="B123" s="274">
        <v>1.6E-2</v>
      </c>
      <c r="C123" t="s">
        <v>621</v>
      </c>
      <c r="H123" s="352">
        <f>((SUM('E-Inv AF y Am'!B12:B15))*'Info-Costos'!B123)+I123</f>
        <v>22647.936256000001</v>
      </c>
      <c r="I123">
        <f>20589.03296*J123</f>
        <v>2058.903296</v>
      </c>
      <c r="J123" s="276">
        <v>0.1</v>
      </c>
    </row>
    <row r="124" spans="1:19" x14ac:dyDescent="0.2">
      <c r="A124" s="287" t="s">
        <v>534</v>
      </c>
      <c r="B124" s="274">
        <v>1.4999999999999999E-2</v>
      </c>
      <c r="C124" t="s">
        <v>622</v>
      </c>
      <c r="H124" s="352">
        <f>'E-Costos'!E7*'Info-Costos'!B124</f>
        <v>516716.45999999996</v>
      </c>
    </row>
    <row r="125" spans="1:19" x14ac:dyDescent="0.2">
      <c r="A125" s="287" t="s">
        <v>126</v>
      </c>
      <c r="B125" s="274">
        <v>0.03</v>
      </c>
      <c r="C125" t="s">
        <v>623</v>
      </c>
      <c r="H125" s="352">
        <f>('E-Costos'!F8+'E-Costos'!F11)*B125</f>
        <v>194472</v>
      </c>
    </row>
    <row r="126" spans="1:19" ht="13.5" thickBot="1" x14ac:dyDescent="0.25">
      <c r="A126" s="289" t="s">
        <v>624</v>
      </c>
      <c r="B126" s="290"/>
      <c r="C126" s="290"/>
      <c r="D126" s="290"/>
      <c r="E126" s="290"/>
      <c r="F126" s="290">
        <f>G126*0.95</f>
        <v>989177.85294303996</v>
      </c>
      <c r="G126" s="290">
        <f>H126-I123</f>
        <v>1041239.8452032</v>
      </c>
      <c r="H126" s="291">
        <f>SUM(H122:H125)</f>
        <v>1043298.7484992</v>
      </c>
    </row>
    <row r="127" spans="1:19" x14ac:dyDescent="0.2">
      <c r="M127" s="307" t="s">
        <v>696</v>
      </c>
      <c r="N127" s="307">
        <v>45000</v>
      </c>
      <c r="R127" s="307" t="s">
        <v>697</v>
      </c>
      <c r="S127" s="307">
        <v>45000</v>
      </c>
    </row>
    <row r="128" spans="1:19" x14ac:dyDescent="0.2">
      <c r="M128" s="311" t="s">
        <v>502</v>
      </c>
      <c r="N128">
        <f>H126/N127</f>
        <v>23.184416633315553</v>
      </c>
      <c r="R128" s="311" t="s">
        <v>502</v>
      </c>
      <c r="S128">
        <f>G126/N127</f>
        <v>23.138663226737776</v>
      </c>
    </row>
    <row r="129" spans="1:19" x14ac:dyDescent="0.2">
      <c r="A129" t="s">
        <v>625</v>
      </c>
      <c r="B129" s="276">
        <v>0.1</v>
      </c>
      <c r="M129" s="307" t="s">
        <v>579</v>
      </c>
      <c r="N129" s="309">
        <v>737.65</v>
      </c>
      <c r="O129" t="s">
        <v>580</v>
      </c>
      <c r="R129" s="307" t="s">
        <v>579</v>
      </c>
      <c r="S129" s="309">
        <v>737.65</v>
      </c>
    </row>
    <row r="130" spans="1:19" x14ac:dyDescent="0.2">
      <c r="A130" t="s">
        <v>626</v>
      </c>
      <c r="M130" s="311" t="s">
        <v>581</v>
      </c>
      <c r="N130">
        <f>N129*N128/2</f>
        <v>8550.9924647826083</v>
      </c>
      <c r="R130" s="311" t="s">
        <v>581</v>
      </c>
      <c r="S130">
        <f>S129*S128/2</f>
        <v>8534.1174646015606</v>
      </c>
    </row>
    <row r="131" spans="1:19" x14ac:dyDescent="0.2">
      <c r="B131" s="276">
        <v>0.9</v>
      </c>
      <c r="C131" t="s">
        <v>627</v>
      </c>
    </row>
    <row r="134" spans="1:19" x14ac:dyDescent="0.2">
      <c r="M134" t="s">
        <v>584</v>
      </c>
      <c r="N134" s="307">
        <v>40707</v>
      </c>
    </row>
    <row r="135" spans="1:19" x14ac:dyDescent="0.2">
      <c r="M135" t="s">
        <v>585</v>
      </c>
      <c r="N135">
        <f>N134*S128</f>
        <v>941905.56397081469</v>
      </c>
    </row>
    <row r="136" spans="1:19" x14ac:dyDescent="0.2">
      <c r="M136" t="s">
        <v>581</v>
      </c>
      <c r="N136">
        <f>S129*S128/2</f>
        <v>8534.1174646015606</v>
      </c>
    </row>
    <row r="137" spans="1:19" x14ac:dyDescent="0.2">
      <c r="M137" t="s">
        <v>628</v>
      </c>
      <c r="N137">
        <f>F126-N135-N136</f>
        <v>38738.171507623716</v>
      </c>
    </row>
    <row r="140" spans="1:19" x14ac:dyDescent="0.2">
      <c r="M140" s="279" t="s">
        <v>629</v>
      </c>
    </row>
    <row r="147" spans="1:15" x14ac:dyDescent="0.2">
      <c r="A147" s="281" t="s">
        <v>630</v>
      </c>
    </row>
    <row r="148" spans="1:15" ht="13.5" thickBot="1" x14ac:dyDescent="0.25">
      <c r="M148" t="s">
        <v>631</v>
      </c>
      <c r="N148">
        <f>F152/N127</f>
        <v>7.0091999999999999</v>
      </c>
      <c r="O148" t="s">
        <v>578</v>
      </c>
    </row>
    <row r="149" spans="1:15" x14ac:dyDescent="0.2">
      <c r="A149" s="292"/>
      <c r="B149" s="293"/>
      <c r="C149" s="293"/>
      <c r="D149" s="293"/>
      <c r="E149" s="293"/>
      <c r="F149" s="293" t="s">
        <v>54</v>
      </c>
      <c r="G149" s="294" t="s">
        <v>605</v>
      </c>
      <c r="M149" t="s">
        <v>632</v>
      </c>
      <c r="N149">
        <f>N129*N148/2</f>
        <v>2585.1681899999999</v>
      </c>
    </row>
    <row r="150" spans="1:15" x14ac:dyDescent="0.2">
      <c r="A150" s="287" t="s">
        <v>633</v>
      </c>
      <c r="B150" s="274">
        <v>8.0000000000000002E-3</v>
      </c>
      <c r="C150" t="s">
        <v>634</v>
      </c>
      <c r="D150" s="276">
        <v>0.9</v>
      </c>
      <c r="E150" t="s">
        <v>635</v>
      </c>
      <c r="F150" s="307">
        <f>B154*B150*D150</f>
        <v>140184</v>
      </c>
      <c r="G150" s="347">
        <f>B150*D150*B154</f>
        <v>140184</v>
      </c>
    </row>
    <row r="151" spans="1:15" ht="13.5" thickBot="1" x14ac:dyDescent="0.25">
      <c r="A151" s="289" t="s">
        <v>636</v>
      </c>
      <c r="B151" s="295">
        <v>0.01</v>
      </c>
      <c r="C151" s="290"/>
      <c r="D151" s="295">
        <v>0.9</v>
      </c>
      <c r="E151" s="290" t="s">
        <v>635</v>
      </c>
      <c r="F151" s="348">
        <f>B154*B151*D151</f>
        <v>175230</v>
      </c>
      <c r="G151" s="349">
        <f>B151*D151*B154</f>
        <v>175230.00000000003</v>
      </c>
    </row>
    <row r="152" spans="1:15" x14ac:dyDescent="0.2">
      <c r="E152" t="s">
        <v>158</v>
      </c>
      <c r="F152">
        <f>SUM(F150:F151)</f>
        <v>315414</v>
      </c>
      <c r="G152">
        <f>SUM(G150:G151)</f>
        <v>315414</v>
      </c>
    </row>
    <row r="153" spans="1:15" ht="13.5" thickBot="1" x14ac:dyDescent="0.25">
      <c r="M153" t="s">
        <v>637</v>
      </c>
      <c r="N153">
        <f>G152/N134</f>
        <v>7.7483970815830201</v>
      </c>
    </row>
    <row r="154" spans="1:15" ht="13.5" thickBot="1" x14ac:dyDescent="0.25">
      <c r="A154" s="296" t="s">
        <v>638</v>
      </c>
      <c r="B154" s="346">
        <f>SUM('E-Inv AF y Am'!B7:B8)</f>
        <v>19470000</v>
      </c>
      <c r="M154" t="s">
        <v>639</v>
      </c>
      <c r="N154">
        <f>N153*N129/2</f>
        <v>2857.8025536148575</v>
      </c>
    </row>
    <row r="156" spans="1:15" x14ac:dyDescent="0.2">
      <c r="M156" s="279" t="s">
        <v>640</v>
      </c>
    </row>
    <row r="162" spans="1:6" x14ac:dyDescent="0.2">
      <c r="A162" s="281" t="s">
        <v>641</v>
      </c>
    </row>
    <row r="164" spans="1:6" x14ac:dyDescent="0.2">
      <c r="A164" t="s">
        <v>642</v>
      </c>
      <c r="B164" s="276">
        <v>3.5000000000000003E-2</v>
      </c>
      <c r="D164" s="269"/>
      <c r="E164" s="269" t="s">
        <v>54</v>
      </c>
      <c r="F164" s="269" t="s">
        <v>582</v>
      </c>
    </row>
    <row r="165" spans="1:6" x14ac:dyDescent="0.2">
      <c r="D165" s="287" t="s">
        <v>643</v>
      </c>
      <c r="E165" s="307">
        <f>SUM('E-Costos'!B7:B15)</f>
        <v>42510211.054021038</v>
      </c>
      <c r="F165" s="347">
        <f>SUM('E-Costos'!C7:C15)</f>
        <v>44560467.317071199</v>
      </c>
    </row>
    <row r="166" spans="1:6" ht="13.5" thickBot="1" x14ac:dyDescent="0.25">
      <c r="D166" s="289" t="s">
        <v>7</v>
      </c>
      <c r="E166" s="348">
        <f>E165*B164</f>
        <v>1487857.3868907364</v>
      </c>
      <c r="F166" s="349">
        <f>F165*B164</f>
        <v>1559616.3560974922</v>
      </c>
    </row>
    <row r="173" spans="1:6" x14ac:dyDescent="0.2">
      <c r="A173" s="297" t="s">
        <v>238</v>
      </c>
      <c r="B173" s="298">
        <v>1</v>
      </c>
      <c r="C173" s="298">
        <v>2</v>
      </c>
      <c r="D173" s="298">
        <v>3</v>
      </c>
      <c r="E173" s="298">
        <v>4</v>
      </c>
      <c r="F173" s="299">
        <v>5</v>
      </c>
    </row>
    <row r="174" spans="1:6" x14ac:dyDescent="0.2">
      <c r="A174" s="287" t="s">
        <v>644</v>
      </c>
      <c r="B174" s="307">
        <v>450</v>
      </c>
      <c r="C174" s="307">
        <v>450</v>
      </c>
      <c r="D174" s="307">
        <v>450</v>
      </c>
      <c r="E174" s="307">
        <v>450</v>
      </c>
      <c r="F174" s="307">
        <v>450</v>
      </c>
    </row>
    <row r="175" spans="1:6" x14ac:dyDescent="0.2">
      <c r="A175" s="287"/>
      <c r="F175" s="288"/>
    </row>
    <row r="176" spans="1:6" x14ac:dyDescent="0.2">
      <c r="A176" s="287" t="s">
        <v>645</v>
      </c>
      <c r="B176" s="310">
        <f>B174*'E-Costos'!B102</f>
        <v>463845.10641359922</v>
      </c>
      <c r="C176" s="310">
        <f>C174*'E-Costos'!C102</f>
        <v>454204.33125724306</v>
      </c>
      <c r="D176" s="310">
        <f>D174*'E-Costos'!D102</f>
        <v>454204.33125724306</v>
      </c>
      <c r="E176" s="310">
        <f>E174*'E-Costos'!E102</f>
        <v>454224.92029020301</v>
      </c>
      <c r="F176" s="310">
        <f>F174*'E-Costos'!F102</f>
        <v>454224.92029020301</v>
      </c>
    </row>
    <row r="177" spans="1:6" x14ac:dyDescent="0.2">
      <c r="A177" s="287" t="s">
        <v>646</v>
      </c>
      <c r="C177">
        <f>B176</f>
        <v>463845.10641359922</v>
      </c>
      <c r="D177">
        <f>C176</f>
        <v>454204.33125724306</v>
      </c>
      <c r="E177" s="300">
        <f>D176</f>
        <v>454204.33125724306</v>
      </c>
      <c r="F177" s="301">
        <f>E176</f>
        <v>454224.92029020301</v>
      </c>
    </row>
    <row r="178" spans="1:6" x14ac:dyDescent="0.2">
      <c r="A178" s="287" t="s">
        <v>647</v>
      </c>
      <c r="B178" s="300">
        <f>B176-B177</f>
        <v>463845.10641359922</v>
      </c>
      <c r="C178" s="300">
        <f>C176-C177</f>
        <v>-9640.7751563561615</v>
      </c>
      <c r="D178" s="300">
        <f>D176-D177</f>
        <v>0</v>
      </c>
      <c r="E178" s="300">
        <f>E176-E177</f>
        <v>20.589032959949691</v>
      </c>
      <c r="F178" s="301">
        <f>F176-F177</f>
        <v>0</v>
      </c>
    </row>
    <row r="179" spans="1:6" ht="13.5" thickBot="1" x14ac:dyDescent="0.25">
      <c r="A179" s="289"/>
      <c r="B179" s="290"/>
      <c r="C179" s="290"/>
      <c r="D179" s="290"/>
      <c r="E179" s="290"/>
      <c r="F179" s="291"/>
    </row>
    <row r="184" spans="1:6" x14ac:dyDescent="0.2">
      <c r="A184" s="302" t="s">
        <v>238</v>
      </c>
      <c r="B184" s="303" t="s">
        <v>602</v>
      </c>
    </row>
    <row r="185" spans="1:6" x14ac:dyDescent="0.2">
      <c r="A185" s="304">
        <v>1</v>
      </c>
      <c r="B185" s="307">
        <v>45643</v>
      </c>
    </row>
    <row r="186" spans="1:6" ht="13.5" thickBot="1" x14ac:dyDescent="0.25">
      <c r="A186" s="305" t="s">
        <v>604</v>
      </c>
      <c r="B186" s="307">
        <v>47944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zoomScale="90" zoomScaleNormal="90" workbookViewId="0"/>
  </sheetViews>
  <sheetFormatPr defaultColWidth="11.28515625" defaultRowHeight="12.75" x14ac:dyDescent="0.2"/>
  <cols>
    <col min="1" max="1" width="45.42578125" style="16" customWidth="1"/>
    <col min="2" max="7" width="14.7109375" style="16" customWidth="1"/>
    <col min="8" max="8" width="17.28515625" style="16" customWidth="1"/>
    <col min="9" max="16384" width="11.28515625" style="16"/>
  </cols>
  <sheetData>
    <row r="1" spans="1:7" x14ac:dyDescent="0.2">
      <c r="A1" s="1" t="s">
        <v>0</v>
      </c>
      <c r="B1"/>
      <c r="C1"/>
      <c r="D1"/>
      <c r="E1" s="2">
        <f>InfoInicial!E1</f>
        <v>6</v>
      </c>
    </row>
    <row r="2" spans="1:7" x14ac:dyDescent="0.2">
      <c r="A2" s="1"/>
      <c r="B2"/>
      <c r="C2"/>
      <c r="D2"/>
      <c r="E2" s="104"/>
    </row>
    <row r="3" spans="1:7" ht="15.75" x14ac:dyDescent="0.25">
      <c r="A3" s="53" t="s">
        <v>168</v>
      </c>
      <c r="B3" s="54"/>
      <c r="C3" s="54"/>
      <c r="D3" s="54"/>
      <c r="E3" s="54"/>
      <c r="F3" s="54"/>
      <c r="G3" s="55"/>
    </row>
    <row r="4" spans="1:7" x14ac:dyDescent="0.2">
      <c r="A4" s="56" t="s">
        <v>94</v>
      </c>
      <c r="B4" s="21" t="s">
        <v>53</v>
      </c>
      <c r="C4" s="21" t="s">
        <v>54</v>
      </c>
      <c r="D4" s="21" t="s">
        <v>95</v>
      </c>
      <c r="E4" s="21" t="s">
        <v>96</v>
      </c>
      <c r="F4" s="21" t="s">
        <v>97</v>
      </c>
      <c r="G4" s="22" t="s">
        <v>98</v>
      </c>
    </row>
    <row r="5" spans="1:7" x14ac:dyDescent="0.2">
      <c r="A5" s="105" t="s">
        <v>169</v>
      </c>
      <c r="B5" s="106"/>
      <c r="C5" s="106"/>
      <c r="D5" s="106"/>
      <c r="E5" s="106"/>
      <c r="F5" s="106"/>
      <c r="G5" s="107"/>
    </row>
    <row r="6" spans="1:7" x14ac:dyDescent="0.2">
      <c r="A6" s="105" t="s">
        <v>170</v>
      </c>
      <c r="B6" s="61">
        <f>'Info-InvAT'!G5*'E-InvAT'!C6</f>
        <v>1044000</v>
      </c>
      <c r="C6" s="61">
        <f>InfoInicial!$B$19*InfoInicial!$B$20*'Info-InvAT'!$D$5</f>
        <v>1305000</v>
      </c>
      <c r="D6" s="61">
        <f>InfoInicial!$B$19*InfoInicial!$B$20*'Info-InvAT'!$D$5</f>
        <v>1305000</v>
      </c>
      <c r="E6" s="61">
        <f>InfoInicial!$B$19*InfoInicial!$B$20*'Info-InvAT'!$D$5</f>
        <v>1305000</v>
      </c>
      <c r="F6" s="61">
        <f>InfoInicial!$B$19*InfoInicial!$B$20*'Info-InvAT'!$D$5</f>
        <v>1305000</v>
      </c>
      <c r="G6" s="61">
        <f>InfoInicial!$B$19*InfoInicial!$B$20*'Info-InvAT'!$D$5</f>
        <v>1305000</v>
      </c>
    </row>
    <row r="7" spans="1:7" x14ac:dyDescent="0.2">
      <c r="A7" s="105" t="s">
        <v>171</v>
      </c>
      <c r="B7" s="61">
        <v>0</v>
      </c>
      <c r="C7" s="61">
        <f>InfoInicial!$B$19*InfoInicial!$B$20*(30/365)</f>
        <v>5363013.6986301364</v>
      </c>
      <c r="D7" s="61">
        <f>InfoInicial!$B$19*InfoInicial!$B$20*(30/365)</f>
        <v>5363013.6986301364</v>
      </c>
      <c r="E7" s="61">
        <f>InfoInicial!$B$19*InfoInicial!$B$20*(30/365)</f>
        <v>5363013.6986301364</v>
      </c>
      <c r="F7" s="61">
        <f>InfoInicial!$B$19*InfoInicial!$B$20*(30/365)</f>
        <v>5363013.6986301364</v>
      </c>
      <c r="G7" s="61">
        <f>InfoInicial!$B$19*InfoInicial!$B$20*(30/365)</f>
        <v>5363013.6986301364</v>
      </c>
    </row>
    <row r="8" spans="1:7" x14ac:dyDescent="0.2">
      <c r="A8" s="108"/>
      <c r="B8" s="85"/>
      <c r="C8" s="85"/>
      <c r="D8" s="85"/>
      <c r="E8" s="85"/>
      <c r="F8" s="85"/>
      <c r="G8" s="86"/>
    </row>
    <row r="9" spans="1:7" x14ac:dyDescent="0.2">
      <c r="A9" s="105" t="s">
        <v>172</v>
      </c>
      <c r="B9" s="85"/>
      <c r="C9" s="85"/>
      <c r="D9" s="85"/>
      <c r="E9" s="85"/>
      <c r="F9" s="85"/>
      <c r="G9" s="86"/>
    </row>
    <row r="10" spans="1:7" x14ac:dyDescent="0.2">
      <c r="A10" s="108" t="s">
        <v>173</v>
      </c>
      <c r="B10" s="61">
        <f>'Info-InvAT'!C21*'Info-InvAT'!D13</f>
        <v>3039255</v>
      </c>
      <c r="C10" s="61">
        <f>'Info-InvAT'!D21*'Info-InvAT'!D13</f>
        <v>3754881</v>
      </c>
      <c r="D10" s="61">
        <f>'Info-InvAT'!$E$21*'Info-InvAT'!$D$13</f>
        <v>3754881</v>
      </c>
      <c r="E10" s="61">
        <f>'Info-InvAT'!$E$21*'Info-InvAT'!$D$13</f>
        <v>3754881</v>
      </c>
      <c r="F10" s="61">
        <f>'Info-InvAT'!$E$21*'Info-InvAT'!$D$13</f>
        <v>3754881</v>
      </c>
      <c r="G10" s="61">
        <f>'Info-InvAT'!$E$21*'Info-InvAT'!$D$13</f>
        <v>3754881</v>
      </c>
    </row>
    <row r="11" spans="1:7" x14ac:dyDescent="0.2">
      <c r="A11" s="108" t="s">
        <v>174</v>
      </c>
      <c r="B11" s="61">
        <f>'Info-InvAT'!G5*'E-InvAT'!C11</f>
        <v>406463.67928672</v>
      </c>
      <c r="C11" s="61">
        <f>('E-Costos'!B12*'Info-InvAT'!$C$27/12)+'E-Costos'!B54*'Info-InvAT'!$C$28/12+'E-Costos'!B71*'Info-InvAT'!$C$29/12</f>
        <v>508079.59910839994</v>
      </c>
      <c r="D11" s="61">
        <f>('E-Costos'!C12*'Info-InvAT'!$C$27/12)+'E-Costos'!C54*'Info-InvAT'!$C$28/12+'E-Costos'!C71*'Info-InvAT'!$C$29/12</f>
        <v>535609.55886480003</v>
      </c>
      <c r="E11" s="61">
        <f>('E-Costos'!D12*'Info-InvAT'!$C$27/12)+'E-Costos'!D54*'Info-InvAT'!$C$28/12+'E-Costos'!D71*'Info-InvAT'!$C$29/12</f>
        <v>535609.55886480003</v>
      </c>
      <c r="F11" s="61">
        <f>('E-Costos'!E12*'Info-InvAT'!$C$27/12)+'E-Costos'!E54*'Info-InvAT'!$C$28/12+'E-Costos'!E71*'Info-InvAT'!$C$29/12</f>
        <v>536639.01051280007</v>
      </c>
      <c r="G11" s="61">
        <f>('E-Costos'!F12*'Info-InvAT'!$C$27/12)+'E-Costos'!F54*'Info-InvAT'!$C$28/12+'E-Costos'!F71*'Info-InvAT'!$C$29/12</f>
        <v>536639.01051280007</v>
      </c>
    </row>
    <row r="12" spans="1:7" x14ac:dyDescent="0.2">
      <c r="A12" s="108" t="s">
        <v>175</v>
      </c>
      <c r="B12" s="61">
        <v>0</v>
      </c>
      <c r="C12" s="61">
        <f>'Info-InvAT'!$D$19*'Info-InvAT'!$D$13</f>
        <v>564741</v>
      </c>
      <c r="D12" s="61">
        <f>'Info-InvAT'!$D$19*'Info-InvAT'!$D$13</f>
        <v>564741</v>
      </c>
      <c r="E12" s="61">
        <f>'Info-InvAT'!$D$19*'Info-InvAT'!$D$13</f>
        <v>564741</v>
      </c>
      <c r="F12" s="61">
        <f>'Info-InvAT'!$D$19*'Info-InvAT'!$D$13</f>
        <v>564741</v>
      </c>
      <c r="G12" s="61">
        <f>'Info-InvAT'!$D$19*'Info-InvAT'!$D$13</f>
        <v>564741</v>
      </c>
    </row>
    <row r="13" spans="1:7" x14ac:dyDescent="0.2">
      <c r="A13" s="108" t="s">
        <v>176</v>
      </c>
      <c r="B13" s="61">
        <v>0</v>
      </c>
      <c r="C13" s="61">
        <f>'Info-InvAT'!$D$16*'Info-InvAT'!$D$13</f>
        <v>323325</v>
      </c>
      <c r="D13" s="61">
        <f>'Info-InvAT'!$D$16*'Info-InvAT'!$D$13</f>
        <v>323325</v>
      </c>
      <c r="E13" s="61">
        <f>'Info-InvAT'!$D$16*'Info-InvAT'!$D$13</f>
        <v>323325</v>
      </c>
      <c r="F13" s="61">
        <f>'Info-InvAT'!$D$16*'Info-InvAT'!$D$13</f>
        <v>323325</v>
      </c>
      <c r="G13" s="61">
        <f>'Info-InvAT'!$D$16*'Info-InvAT'!$D$13</f>
        <v>323325</v>
      </c>
    </row>
    <row r="14" spans="1:7" x14ac:dyDescent="0.2">
      <c r="A14" s="108"/>
      <c r="B14" s="85"/>
      <c r="C14" s="85"/>
      <c r="D14" s="85"/>
      <c r="E14" s="85"/>
      <c r="F14" s="85"/>
      <c r="G14" s="86"/>
    </row>
    <row r="15" spans="1:7" x14ac:dyDescent="0.2">
      <c r="A15" s="105" t="s">
        <v>177</v>
      </c>
      <c r="B15" s="61">
        <f>SUM(B6:B13)</f>
        <v>4489718.6792867202</v>
      </c>
      <c r="C15" s="61">
        <f t="shared" ref="C15:G15" si="0">SUM(C6:C13)</f>
        <v>11819040.297738535</v>
      </c>
      <c r="D15" s="61">
        <f t="shared" si="0"/>
        <v>11846570.257494936</v>
      </c>
      <c r="E15" s="61">
        <f t="shared" si="0"/>
        <v>11846570.257494936</v>
      </c>
      <c r="F15" s="61">
        <f t="shared" si="0"/>
        <v>11847599.709142936</v>
      </c>
      <c r="G15" s="61">
        <f t="shared" si="0"/>
        <v>11847599.709142936</v>
      </c>
    </row>
    <row r="16" spans="1:7" x14ac:dyDescent="0.2">
      <c r="A16" s="105" t="s">
        <v>178</v>
      </c>
      <c r="B16" s="85"/>
      <c r="C16" s="85"/>
      <c r="D16" s="85"/>
      <c r="E16" s="85"/>
      <c r="F16" s="85"/>
      <c r="G16" s="86"/>
    </row>
    <row r="17" spans="1:7" x14ac:dyDescent="0.2">
      <c r="A17" s="108" t="s">
        <v>179</v>
      </c>
      <c r="B17" s="61">
        <v>0</v>
      </c>
      <c r="C17" s="61">
        <f>'E-Costos'!B28</f>
        <v>18715.25492778877</v>
      </c>
      <c r="D17" s="61">
        <f>'E-Costos'!C28</f>
        <v>16929.819607677724</v>
      </c>
      <c r="E17" s="61">
        <f>'E-Costos'!D28</f>
        <v>16929.819607677724</v>
      </c>
      <c r="F17" s="61">
        <f>'E-Costos'!E28</f>
        <v>16929.819607677724</v>
      </c>
      <c r="G17" s="61">
        <f>'E-Costos'!F28</f>
        <v>16929.819607677724</v>
      </c>
    </row>
    <row r="18" spans="1:7" x14ac:dyDescent="0.2">
      <c r="A18" s="108" t="s">
        <v>180</v>
      </c>
      <c r="B18" s="61">
        <v>0</v>
      </c>
      <c r="C18" s="61">
        <f>('E-Costos'!B10-'E-InvAT'!C17+B17)/'Info-InvAT'!D17*'Info-InvAT'!D19</f>
        <v>39522.562117218316</v>
      </c>
      <c r="D18" s="61">
        <f>('E-Costos'!C10-'E-InvAT'!D17+C17)/'Info-InvAT'!$E$17*'Info-InvAT'!$E$19</f>
        <v>36110.18841423234</v>
      </c>
      <c r="E18" s="61">
        <f>('E-Costos'!D10-'E-InvAT'!E17+D17)/'Info-InvAT'!$E$17*'Info-InvAT'!$E$19</f>
        <v>36079.002810641061</v>
      </c>
      <c r="F18" s="61">
        <f>('E-Costos'!E10-'E-InvAT'!F17+E17)/'Info-InvAT'!$E$17*'Info-InvAT'!$E$19</f>
        <v>36079.002810641061</v>
      </c>
      <c r="G18" s="61">
        <f>('E-Costos'!F10-'E-InvAT'!G17+F17)/'Info-InvAT'!$E$17*'Info-InvAT'!$E$19</f>
        <v>36079.002810641061</v>
      </c>
    </row>
    <row r="19" spans="1:7" x14ac:dyDescent="0.2">
      <c r="A19" s="108" t="s">
        <v>181</v>
      </c>
      <c r="B19" s="61">
        <v>0</v>
      </c>
      <c r="C19" s="61">
        <f>C7*'E-Costos'!B121</f>
        <v>363527.44048625405</v>
      </c>
      <c r="D19" s="61">
        <f>D7*'E-Costos'!C121</f>
        <v>454580.06484797125</v>
      </c>
      <c r="E19" s="61">
        <f>E7*'E-Costos'!D121</f>
        <v>455055.5003351341</v>
      </c>
      <c r="F19" s="61">
        <f>F7*'E-Costos'!E121</f>
        <v>454954.98072764173</v>
      </c>
      <c r="G19" s="61">
        <f>G7*'E-Costos'!F121</f>
        <v>454953.96537807101</v>
      </c>
    </row>
    <row r="20" spans="1:7" x14ac:dyDescent="0.2">
      <c r="A20" s="108" t="s">
        <v>182</v>
      </c>
      <c r="B20" s="61">
        <v>0</v>
      </c>
      <c r="C20" s="61">
        <f>('E-Inv AF y Am'!$D$56-'E-InvAT'!C17-'E-InvAT'!C18+'E-InvAT'!B17+'E-InvAT'!B18)/365*30</f>
        <v>207431.66202041035</v>
      </c>
      <c r="D20" s="61">
        <f>('E-Inv AF y Am'!$D$56-'E-InvAT'!D17-'E-InvAT'!D18+'E-InvAT'!C17+'E-InvAT'!C18)/365*30</f>
        <v>212645.54909450113</v>
      </c>
      <c r="E20" s="61">
        <f>('E-Inv AF y Am'!$D$56-'E-InvAT'!E17-'E-InvAT'!E18+'E-InvAT'!D17+'E-InvAT'!D18)/365*30</f>
        <v>212220.89511481571</v>
      </c>
      <c r="F20" s="61">
        <f>('E-Inv AF y Am'!$D$56-'E-InvAT'!F17-'E-InvAT'!F18+'E-InvAT'!E17+'E-InvAT'!E18)/365*30</f>
        <v>212218.33191452053</v>
      </c>
      <c r="G20" s="61">
        <f>('E-Inv AF y Am'!$D$56-'E-InvAT'!G17-'E-InvAT'!G18+'E-InvAT'!F17+'E-InvAT'!F18)/365*30</f>
        <v>212218.33191452053</v>
      </c>
    </row>
    <row r="21" spans="1:7" x14ac:dyDescent="0.2">
      <c r="A21" s="108"/>
      <c r="B21" s="85"/>
      <c r="C21" s="85"/>
      <c r="D21" s="85"/>
      <c r="E21" s="85"/>
      <c r="F21" s="85"/>
      <c r="G21" s="86"/>
    </row>
    <row r="22" spans="1:7" x14ac:dyDescent="0.2">
      <c r="A22" s="105" t="s">
        <v>183</v>
      </c>
      <c r="B22" s="61">
        <f>B15-SUM(B17:B20)</f>
        <v>4489718.6792867202</v>
      </c>
      <c r="C22" s="61">
        <f t="shared" ref="C22:G22" si="1">C15-SUM(C17:C20)</f>
        <v>11189843.378186863</v>
      </c>
      <c r="D22" s="61">
        <f t="shared" si="1"/>
        <v>11126304.635530554</v>
      </c>
      <c r="E22" s="61">
        <f t="shared" si="1"/>
        <v>11126285.039626667</v>
      </c>
      <c r="F22" s="61">
        <f t="shared" si="1"/>
        <v>11127417.574082455</v>
      </c>
      <c r="G22" s="61">
        <f t="shared" si="1"/>
        <v>11127418.589432025</v>
      </c>
    </row>
    <row r="23" spans="1:7" x14ac:dyDescent="0.2">
      <c r="A23" s="108"/>
      <c r="B23" s="85"/>
      <c r="C23" s="85"/>
      <c r="D23" s="85"/>
      <c r="E23" s="85"/>
      <c r="F23" s="85"/>
      <c r="G23" s="86"/>
    </row>
    <row r="24" spans="1:7" x14ac:dyDescent="0.2">
      <c r="A24" s="105" t="s">
        <v>184</v>
      </c>
      <c r="B24" s="61">
        <f>B22</f>
        <v>4489718.6792867202</v>
      </c>
      <c r="C24" s="61">
        <f>C15-B15</f>
        <v>7329321.6184518151</v>
      </c>
      <c r="D24" s="61">
        <f t="shared" ref="D24:G24" si="2">D15-C15</f>
        <v>27529.959756400436</v>
      </c>
      <c r="E24" s="61">
        <f t="shared" si="2"/>
        <v>0</v>
      </c>
      <c r="F24" s="61">
        <f t="shared" si="2"/>
        <v>1029.4516480006278</v>
      </c>
      <c r="G24" s="61">
        <f t="shared" si="2"/>
        <v>0</v>
      </c>
    </row>
    <row r="25" spans="1:7" x14ac:dyDescent="0.2">
      <c r="A25" s="105" t="s">
        <v>185</v>
      </c>
      <c r="B25" s="61">
        <f>B22</f>
        <v>4489718.6792867202</v>
      </c>
      <c r="C25" s="61">
        <f>C22-B22</f>
        <v>6700124.6989001427</v>
      </c>
      <c r="D25" s="61">
        <f t="shared" ref="D25:G25" si="3">D22-C22</f>
        <v>-63538.742656309158</v>
      </c>
      <c r="E25" s="61">
        <f t="shared" si="3"/>
        <v>-19.59590388648212</v>
      </c>
      <c r="F25" s="61">
        <f t="shared" si="3"/>
        <v>1132.5344557873905</v>
      </c>
      <c r="G25" s="61">
        <f t="shared" si="3"/>
        <v>1.0153495706617832</v>
      </c>
    </row>
    <row r="26" spans="1:7" x14ac:dyDescent="0.2">
      <c r="A26" s="108"/>
      <c r="B26" s="85"/>
      <c r="C26" s="85"/>
      <c r="D26" s="85"/>
      <c r="E26" s="85"/>
      <c r="F26" s="85"/>
      <c r="G26" s="86"/>
    </row>
    <row r="27" spans="1:7" x14ac:dyDescent="0.2">
      <c r="A27" s="105" t="s">
        <v>186</v>
      </c>
      <c r="B27" s="85"/>
      <c r="C27" s="85"/>
      <c r="D27" s="85"/>
      <c r="E27" s="85"/>
      <c r="F27" s="85"/>
      <c r="G27" s="86"/>
    </row>
    <row r="28" spans="1:7" x14ac:dyDescent="0.2">
      <c r="A28" s="108" t="s">
        <v>187</v>
      </c>
      <c r="B28" s="61"/>
      <c r="C28" s="61"/>
      <c r="D28" s="61"/>
      <c r="E28" s="61"/>
      <c r="F28" s="61"/>
      <c r="G28" s="62"/>
    </row>
    <row r="29" spans="1:7" x14ac:dyDescent="0.2">
      <c r="A29" s="108" t="s">
        <v>188</v>
      </c>
      <c r="B29" s="61"/>
      <c r="C29" s="61"/>
      <c r="D29" s="61"/>
      <c r="E29" s="61"/>
      <c r="F29" s="61"/>
      <c r="G29" s="62"/>
    </row>
    <row r="30" spans="1:7" x14ac:dyDescent="0.2">
      <c r="A30" s="108" t="s">
        <v>189</v>
      </c>
      <c r="B30" s="61">
        <f>B10*InfoInicial!$B$3</f>
        <v>638243.54999999993</v>
      </c>
      <c r="C30" s="61">
        <f>(C10-B10)*InfoInicial!$B$3</f>
        <v>150281.46</v>
      </c>
      <c r="D30" s="61">
        <f>(D10-C10)*InfoInicial!$B$3</f>
        <v>0</v>
      </c>
      <c r="E30" s="61">
        <f>(E10-D10)*InfoInicial!$B$3</f>
        <v>0</v>
      </c>
      <c r="F30" s="61">
        <f>(F10-E10)*InfoInicial!$B$3</f>
        <v>0</v>
      </c>
      <c r="G30" s="61">
        <f>(G10-F10)*InfoInicial!$B$3</f>
        <v>0</v>
      </c>
    </row>
    <row r="31" spans="1:7" x14ac:dyDescent="0.2">
      <c r="A31" s="108" t="s">
        <v>190</v>
      </c>
      <c r="B31" s="61">
        <f>B11*InfoInicial!$B$3</f>
        <v>85357.372650211197</v>
      </c>
      <c r="C31" s="61">
        <f>(C11-B11)*InfoInicial!$B$3</f>
        <v>21339.343162552788</v>
      </c>
      <c r="D31" s="61">
        <f>(D11-C11)*InfoInicial!$B$3</f>
        <v>5781.2915488440176</v>
      </c>
      <c r="E31" s="61">
        <f>(E11-D11)*InfoInicial!$B$3</f>
        <v>0</v>
      </c>
      <c r="F31" s="61">
        <f>(F11-E11)*InfoInicial!$B$3</f>
        <v>216.18484608000958</v>
      </c>
      <c r="G31" s="61">
        <f>(G11-F11)*InfoInicial!$B$3</f>
        <v>0</v>
      </c>
    </row>
    <row r="32" spans="1:7" x14ac:dyDescent="0.2">
      <c r="A32" s="108" t="s">
        <v>191</v>
      </c>
      <c r="B32" s="61">
        <v>0</v>
      </c>
      <c r="C32" s="61">
        <f>('E-Costos'!B25+'E-Costos'!B30+'E-Costos'!B31+'E-Costos'!B32)*InfoInicial!B3</f>
        <v>120745.88012677532</v>
      </c>
      <c r="D32" s="61">
        <f>(('E-Costos'!C25+'E-Costos'!C30+'E-Costos'!C31+'E-Costos'!C32)-('E-Costos'!B25+'E-Costos'!B30+'E-Costos'!B31+'E-Costos'!B32))*InfoInicial!$B$3</f>
        <v>3.5437500380154234</v>
      </c>
      <c r="E32" s="61">
        <f>(('E-Costos'!D25+'E-Costos'!D30+'E-Costos'!D31+'E-Costos'!D32)-('E-Costos'!C25+'E-Costos'!C30+'E-Costos'!C31+'E-Costos'!C32))*InfoInicial!$B$3</f>
        <v>0</v>
      </c>
      <c r="F32" s="61">
        <f>(('E-Costos'!E25+'E-Costos'!E30+'E-Costos'!E31+'E-Costos'!E32)-('E-Costos'!D25+'E-Costos'!D30+'E-Costos'!D31+'E-Costos'!D32))*InfoInicial!$B$3</f>
        <v>0</v>
      </c>
      <c r="G32" s="61">
        <f>(('E-Costos'!F25+'E-Costos'!F30+'E-Costos'!F31+'E-Costos'!F32)-('E-Costos'!E25+'E-Costos'!E30+'E-Costos'!E31+'E-Costos'!E32))*InfoInicial!$B$3</f>
        <v>0</v>
      </c>
    </row>
    <row r="33" spans="1:7" x14ac:dyDescent="0.2">
      <c r="A33" s="108" t="s">
        <v>192</v>
      </c>
      <c r="B33" s="61">
        <v>0</v>
      </c>
      <c r="C33" s="61">
        <f>'Info-InvAT'!C39</f>
        <v>74488.747371835299</v>
      </c>
      <c r="D33" s="61">
        <f>'Info-InvAT'!D39</f>
        <v>-1162.1714264925395</v>
      </c>
      <c r="E33" s="61">
        <f>'Info-InvAT'!E39</f>
        <v>0</v>
      </c>
      <c r="F33" s="61">
        <f>'Info-InvAT'!F39</f>
        <v>4.3236969215940917</v>
      </c>
      <c r="G33" s="61">
        <f>'Info-InvAT'!G39</f>
        <v>0</v>
      </c>
    </row>
    <row r="34" spans="1:7" x14ac:dyDescent="0.2">
      <c r="A34" s="105" t="s">
        <v>193</v>
      </c>
      <c r="B34" s="61">
        <f>SUM(B30:B33)</f>
        <v>723600.92265021114</v>
      </c>
      <c r="C34" s="61">
        <f t="shared" ref="C34:G34" si="4">SUM(C30:C33)</f>
        <v>366855.43066116335</v>
      </c>
      <c r="D34" s="61">
        <f t="shared" si="4"/>
        <v>4622.6638723894939</v>
      </c>
      <c r="E34" s="61">
        <f t="shared" si="4"/>
        <v>0</v>
      </c>
      <c r="F34" s="61">
        <f t="shared" si="4"/>
        <v>220.50854300160367</v>
      </c>
      <c r="G34" s="61">
        <f t="shared" si="4"/>
        <v>0</v>
      </c>
    </row>
    <row r="35" spans="1:7" x14ac:dyDescent="0.2">
      <c r="A35" s="108"/>
      <c r="B35" s="65"/>
      <c r="C35" s="65"/>
      <c r="D35" s="65"/>
      <c r="E35" s="65"/>
      <c r="F35" s="65"/>
      <c r="G35" s="66"/>
    </row>
    <row r="36" spans="1:7" x14ac:dyDescent="0.2">
      <c r="A36" s="109" t="s">
        <v>194</v>
      </c>
      <c r="B36" s="68">
        <f>B25+B34</f>
        <v>5213319.6019369317</v>
      </c>
      <c r="C36" s="68">
        <f t="shared" ref="C36:G36" si="5">C25+C34</f>
        <v>7066980.129561306</v>
      </c>
      <c r="D36" s="68">
        <f t="shared" si="5"/>
        <v>-58916.078783919664</v>
      </c>
      <c r="E36" s="68">
        <f t="shared" si="5"/>
        <v>-19.59590388648212</v>
      </c>
      <c r="F36" s="68">
        <f t="shared" si="5"/>
        <v>1353.0429987889941</v>
      </c>
      <c r="G36" s="68">
        <f t="shared" si="5"/>
        <v>1.0153495706617832</v>
      </c>
    </row>
  </sheetData>
  <sheetProtection selectLockedCells="1" selectUnlockedCells="1"/>
  <pageMargins left="0.25972222222222224" right="0.4597222222222222" top="0.6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39"/>
  <sheetViews>
    <sheetView workbookViewId="0">
      <selection activeCell="F27" sqref="F27"/>
    </sheetView>
  </sheetViews>
  <sheetFormatPr defaultColWidth="8.85546875" defaultRowHeight="12.75" x14ac:dyDescent="0.2"/>
  <cols>
    <col min="1" max="1" width="10.7109375" customWidth="1"/>
    <col min="2" max="2" width="33.28515625" customWidth="1"/>
    <col min="3" max="3" width="29.42578125" bestFit="1" customWidth="1"/>
    <col min="4" max="4" width="11.140625" customWidth="1"/>
    <col min="5" max="5" width="15.85546875" customWidth="1"/>
    <col min="6" max="1025" width="10.7109375" customWidth="1"/>
  </cols>
  <sheetData>
    <row r="5" spans="2:8" x14ac:dyDescent="0.2">
      <c r="B5" s="279" t="s">
        <v>660</v>
      </c>
      <c r="C5" s="321" t="s">
        <v>661</v>
      </c>
      <c r="D5" s="276">
        <v>0.02</v>
      </c>
      <c r="F5" t="s">
        <v>53</v>
      </c>
      <c r="G5" s="276">
        <v>0.8</v>
      </c>
      <c r="H5" t="s">
        <v>662</v>
      </c>
    </row>
    <row r="6" spans="2:8" x14ac:dyDescent="0.2">
      <c r="B6" s="250" t="s">
        <v>663</v>
      </c>
      <c r="C6" t="s">
        <v>664</v>
      </c>
    </row>
    <row r="8" spans="2:8" x14ac:dyDescent="0.2">
      <c r="B8" s="322" t="s">
        <v>99</v>
      </c>
      <c r="C8" s="323" t="s">
        <v>665</v>
      </c>
      <c r="D8" s="323" t="s">
        <v>666</v>
      </c>
      <c r="E8" s="324" t="s">
        <v>667</v>
      </c>
    </row>
    <row r="9" spans="2:8" x14ac:dyDescent="0.2">
      <c r="B9" s="325" t="s">
        <v>687</v>
      </c>
      <c r="C9" s="104">
        <v>0.35</v>
      </c>
      <c r="D9" s="104">
        <f>C9*350</f>
        <v>122.49999999999999</v>
      </c>
      <c r="E9" s="288" t="s">
        <v>690</v>
      </c>
      <c r="F9" s="104" t="s">
        <v>668</v>
      </c>
    </row>
    <row r="10" spans="2:8" x14ac:dyDescent="0.2">
      <c r="B10" s="325" t="s">
        <v>688</v>
      </c>
      <c r="C10" s="104">
        <v>1</v>
      </c>
      <c r="D10" s="104">
        <f>C10*295</f>
        <v>295</v>
      </c>
      <c r="E10" s="288" t="s">
        <v>691</v>
      </c>
      <c r="F10" s="104" t="s">
        <v>668</v>
      </c>
    </row>
    <row r="11" spans="2:8" x14ac:dyDescent="0.2">
      <c r="B11" s="325" t="s">
        <v>692</v>
      </c>
      <c r="C11" s="350" t="s">
        <v>693</v>
      </c>
      <c r="D11" s="104">
        <v>250</v>
      </c>
      <c r="E11" s="288"/>
      <c r="F11" s="104"/>
    </row>
    <row r="12" spans="2:8" ht="13.5" thickBot="1" x14ac:dyDescent="0.25">
      <c r="B12" s="289" t="s">
        <v>689</v>
      </c>
      <c r="C12" s="290">
        <v>0.3</v>
      </c>
      <c r="D12" s="290">
        <f>C12*170</f>
        <v>51</v>
      </c>
      <c r="E12" s="291" t="s">
        <v>691</v>
      </c>
      <c r="F12" s="104" t="s">
        <v>668</v>
      </c>
    </row>
    <row r="13" spans="2:8" x14ac:dyDescent="0.2">
      <c r="C13" s="104" t="s">
        <v>158</v>
      </c>
      <c r="D13">
        <f>SUM(D9:D12)</f>
        <v>718.5</v>
      </c>
    </row>
    <row r="14" spans="2:8" x14ac:dyDescent="0.2">
      <c r="B14" s="250"/>
      <c r="C14" s="330" t="s">
        <v>449</v>
      </c>
      <c r="D14" s="330" t="s">
        <v>450</v>
      </c>
      <c r="E14" s="330" t="s">
        <v>669</v>
      </c>
    </row>
    <row r="15" spans="2:8" x14ac:dyDescent="0.2">
      <c r="B15" s="331" t="s">
        <v>670</v>
      </c>
      <c r="C15" s="332"/>
      <c r="D15" s="333">
        <v>40257</v>
      </c>
      <c r="E15" s="334">
        <v>45000</v>
      </c>
    </row>
    <row r="16" spans="2:8" x14ac:dyDescent="0.2">
      <c r="B16" s="335" t="s">
        <v>671</v>
      </c>
      <c r="C16" s="336"/>
      <c r="D16" s="337">
        <v>450</v>
      </c>
      <c r="E16" s="338">
        <v>450</v>
      </c>
    </row>
    <row r="17" spans="2:7" x14ac:dyDescent="0.2">
      <c r="B17" s="339" t="s">
        <v>534</v>
      </c>
      <c r="C17" s="336"/>
      <c r="D17" s="337">
        <v>40707</v>
      </c>
      <c r="E17" s="338">
        <v>45000</v>
      </c>
    </row>
    <row r="18" spans="2:7" x14ac:dyDescent="0.2">
      <c r="B18" s="340" t="s">
        <v>672</v>
      </c>
      <c r="C18" s="341"/>
      <c r="D18" s="337">
        <v>4150</v>
      </c>
      <c r="E18" s="338">
        <v>2944</v>
      </c>
    </row>
    <row r="19" spans="2:7" x14ac:dyDescent="0.2">
      <c r="B19" s="335" t="s">
        <v>673</v>
      </c>
      <c r="C19" s="336"/>
      <c r="D19" s="337">
        <v>786</v>
      </c>
      <c r="E19" s="338">
        <v>786</v>
      </c>
    </row>
    <row r="20" spans="2:7" x14ac:dyDescent="0.2">
      <c r="B20" s="335" t="s">
        <v>674</v>
      </c>
      <c r="C20" s="336"/>
      <c r="D20" s="337">
        <v>45643</v>
      </c>
      <c r="E20" s="338">
        <v>47944</v>
      </c>
    </row>
    <row r="21" spans="2:7" ht="18" x14ac:dyDescent="0.25">
      <c r="B21" s="339" t="s">
        <v>675</v>
      </c>
      <c r="C21" s="336">
        <v>4230</v>
      </c>
      <c r="D21" s="337">
        <v>5226</v>
      </c>
      <c r="E21" s="338">
        <v>5226</v>
      </c>
      <c r="G21" s="326"/>
    </row>
    <row r="22" spans="2:7" x14ac:dyDescent="0.2">
      <c r="B22" s="342" t="s">
        <v>676</v>
      </c>
      <c r="C22" s="343">
        <v>4230</v>
      </c>
      <c r="D22" s="344">
        <f>D20+D21-C21</f>
        <v>46639</v>
      </c>
      <c r="E22" s="345">
        <v>47944</v>
      </c>
    </row>
    <row r="24" spans="2:7" x14ac:dyDescent="0.2">
      <c r="D24" s="327"/>
    </row>
    <row r="26" spans="2:7" x14ac:dyDescent="0.2">
      <c r="B26" t="s">
        <v>677</v>
      </c>
      <c r="C26" t="s">
        <v>678</v>
      </c>
    </row>
    <row r="27" spans="2:7" x14ac:dyDescent="0.2">
      <c r="B27" t="s">
        <v>534</v>
      </c>
      <c r="C27" s="329">
        <v>6</v>
      </c>
      <c r="D27" t="s">
        <v>679</v>
      </c>
      <c r="F27" s="329"/>
    </row>
    <row r="28" spans="2:7" x14ac:dyDescent="0.2">
      <c r="B28" t="s">
        <v>680</v>
      </c>
      <c r="C28" s="329">
        <v>1</v>
      </c>
      <c r="D28" t="s">
        <v>679</v>
      </c>
    </row>
    <row r="29" spans="2:7" x14ac:dyDescent="0.2">
      <c r="B29" t="s">
        <v>681</v>
      </c>
      <c r="C29" s="329">
        <v>1</v>
      </c>
      <c r="D29" t="s">
        <v>679</v>
      </c>
    </row>
    <row r="33" spans="2:7" x14ac:dyDescent="0.2">
      <c r="B33" t="s">
        <v>682</v>
      </c>
      <c r="C33" t="s">
        <v>450</v>
      </c>
      <c r="D33" t="s">
        <v>669</v>
      </c>
      <c r="E33" t="s">
        <v>683</v>
      </c>
      <c r="F33" t="s">
        <v>684</v>
      </c>
      <c r="G33" t="s">
        <v>685</v>
      </c>
    </row>
    <row r="34" spans="2:7" x14ac:dyDescent="0.2">
      <c r="B34" t="s">
        <v>99</v>
      </c>
      <c r="C34" s="328">
        <f>('E-Costos'!B7-'E-Costos'!B25-'E-Costos'!G25)*InfoInicial!$B$3*'Info-InvAT'!$D$16/'Info-InvAT'!$D$17</f>
        <v>72340.304400000008</v>
      </c>
      <c r="D34" s="328">
        <f>('E-Costos'!C7-'E-Costos'!C25)*InfoInicial!$B$3*'Info-InvAT'!$E$16/'Info-InvAT'!$E$17</f>
        <v>71154.348299999998</v>
      </c>
      <c r="E34" s="328">
        <f>('E-Costos'!D7-'E-Costos'!D25)*InfoInicial!$B$3*'Info-InvAT'!$E$16/'Info-InvAT'!$E$17</f>
        <v>71154.348299999998</v>
      </c>
      <c r="F34" s="328">
        <f>('E-Costos'!E7-'E-Costos'!E25)*InfoInicial!$B$3*'Info-InvAT'!$E$16/'Info-InvAT'!$E$17</f>
        <v>71154.348299999998</v>
      </c>
      <c r="G34" s="328">
        <f>('E-Costos'!F7-'E-Costos'!F25)*InfoInicial!$B$3*'Info-InvAT'!$E$16/'Info-InvAT'!$E$17</f>
        <v>71154.348299999998</v>
      </c>
    </row>
    <row r="35" spans="2:7" x14ac:dyDescent="0.2">
      <c r="B35" t="s">
        <v>104</v>
      </c>
      <c r="C35" s="328">
        <f>('E-Costos'!B12-'E-Costos'!B30-'E-Costos'!G30)*InfoInicial!$B$3*'Info-InvAT'!D16/'Info-InvAT'!D17</f>
        <v>2186.60367492672</v>
      </c>
      <c r="D35" s="328">
        <f>('E-Costos'!C12-'E-Costos'!C30)*InfoInicial!$B$3*'Info-InvAT'!$E$16/'Info-InvAT'!$E$17</f>
        <v>2168.6465907506768</v>
      </c>
      <c r="E35" s="328">
        <f>('E-Costos'!D12-'E-Costos'!D30)*InfoInicial!$B$3*'Info-InvAT'!$E$16/'Info-InvAT'!$E$17</f>
        <v>2168.6465907506768</v>
      </c>
      <c r="F35" s="328">
        <f>('E-Costos'!E12-'E-Costos'!E30)*InfoInicial!$B$3*'Info-InvAT'!$E$16/'Info-InvAT'!$E$17</f>
        <v>2172.9702876722768</v>
      </c>
      <c r="G35" s="328">
        <f>('E-Costos'!F12-'E-Costos'!F30)*InfoInicial!$B$3*'Info-InvAT'!$E$16/'Info-InvAT'!$E$17</f>
        <v>2172.9702876722768</v>
      </c>
    </row>
    <row r="36" spans="2:7" x14ac:dyDescent="0.2">
      <c r="B36" t="s">
        <v>105</v>
      </c>
      <c r="C36" s="328">
        <f>('E-Costos'!B31-'E-Costos'!G31)*InfoInicial!$B$3*'Info-InvAT'!D16/'Info-InvAT'!D17</f>
        <v>-38.160703091427933</v>
      </c>
      <c r="D36" s="328">
        <f>('E-Costos'!C31)*InfoInicial!$B$3*'Info-InvAT'!$E$16/'Info-InvAT'!$E$17</f>
        <v>3.5810545920901498</v>
      </c>
      <c r="E36" s="328">
        <f>('E-Costos'!D31)*InfoInicial!$B$3*'Info-InvAT'!$E$16/'Info-InvAT'!$E$17</f>
        <v>3.5810545920901498</v>
      </c>
      <c r="F36" s="328">
        <f>('E-Costos'!E31)*InfoInicial!$B$3*'Info-InvAT'!$E$16/'Info-InvAT'!$E$17</f>
        <v>3.5810545920901498</v>
      </c>
      <c r="G36" s="328">
        <f>('E-Costos'!F31)*InfoInicial!$B$3*'Info-InvAT'!$E$16/'Info-InvAT'!$E$17</f>
        <v>3.5810545920901498</v>
      </c>
    </row>
    <row r="37" spans="2:7" x14ac:dyDescent="0.2">
      <c r="B37" t="s">
        <v>106</v>
      </c>
      <c r="C37" s="328">
        <v>0</v>
      </c>
      <c r="D37" s="328">
        <v>0</v>
      </c>
      <c r="E37" s="328">
        <v>0</v>
      </c>
      <c r="F37" s="328">
        <v>0</v>
      </c>
      <c r="G37" s="328">
        <v>0</v>
      </c>
    </row>
    <row r="38" spans="2:7" x14ac:dyDescent="0.2">
      <c r="B38" t="s">
        <v>158</v>
      </c>
      <c r="C38" s="328">
        <f>SUM(C34:C37)</f>
        <v>74488.747371835299</v>
      </c>
      <c r="D38" s="328">
        <f t="shared" ref="D38:G38" si="0">SUM(D34:D37)</f>
        <v>73326.57594534276</v>
      </c>
      <c r="E38" s="328">
        <f t="shared" si="0"/>
        <v>73326.57594534276</v>
      </c>
      <c r="F38" s="328">
        <f t="shared" si="0"/>
        <v>73330.899642264354</v>
      </c>
      <c r="G38" s="328">
        <f t="shared" si="0"/>
        <v>73330.899642264354</v>
      </c>
    </row>
    <row r="39" spans="2:7" x14ac:dyDescent="0.2">
      <c r="B39" t="s">
        <v>686</v>
      </c>
      <c r="C39" s="328">
        <f>C38</f>
        <v>74488.747371835299</v>
      </c>
      <c r="D39" s="328">
        <f>D38-C38</f>
        <v>-1162.1714264925395</v>
      </c>
      <c r="E39" s="328">
        <f t="shared" ref="E39:G39" si="1">E38-D38</f>
        <v>0</v>
      </c>
      <c r="F39" s="328">
        <f t="shared" si="1"/>
        <v>4.3236969215940917</v>
      </c>
      <c r="G39" s="328">
        <f t="shared" si="1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zoomScale="90" zoomScaleNormal="90" workbookViewId="0"/>
  </sheetViews>
  <sheetFormatPr defaultColWidth="11.28515625" defaultRowHeight="12.75" x14ac:dyDescent="0.2"/>
  <cols>
    <col min="1" max="1" width="28" style="16" customWidth="1"/>
    <col min="2" max="2" width="13.85546875" style="16" customWidth="1"/>
    <col min="3" max="3" width="15.140625" style="16" bestFit="1" customWidth="1"/>
    <col min="4" max="8" width="13.85546875" style="16" customWidth="1"/>
    <col min="9" max="9" width="18.7109375" style="16" bestFit="1" customWidth="1"/>
    <col min="10" max="10" width="17.28515625" style="16" customWidth="1"/>
    <col min="11" max="16384" width="11.28515625" style="16"/>
  </cols>
  <sheetData>
    <row r="1" spans="1:9" x14ac:dyDescent="0.2">
      <c r="A1" s="1" t="s">
        <v>0</v>
      </c>
      <c r="B1"/>
      <c r="C1"/>
      <c r="D1"/>
      <c r="G1" s="2">
        <f>InfoInicial!E1</f>
        <v>6</v>
      </c>
    </row>
    <row r="3" spans="1:9" ht="15.75" x14ac:dyDescent="0.25">
      <c r="A3" s="53" t="s">
        <v>195</v>
      </c>
      <c r="B3" s="54"/>
      <c r="C3" s="54"/>
      <c r="D3" s="54"/>
      <c r="E3" s="54"/>
      <c r="F3" s="54"/>
      <c r="G3" s="54"/>
      <c r="H3" s="54"/>
      <c r="I3" s="55"/>
    </row>
    <row r="4" spans="1:9" ht="25.5" x14ac:dyDescent="0.2">
      <c r="A4" s="56" t="s">
        <v>94</v>
      </c>
      <c r="B4" s="110" t="s">
        <v>196</v>
      </c>
      <c r="C4" s="110" t="s">
        <v>197</v>
      </c>
      <c r="D4" s="21" t="s">
        <v>54</v>
      </c>
      <c r="E4" s="21" t="s">
        <v>95</v>
      </c>
      <c r="F4" s="21" t="s">
        <v>96</v>
      </c>
      <c r="G4" s="21" t="s">
        <v>97</v>
      </c>
      <c r="H4" s="111" t="s">
        <v>98</v>
      </c>
      <c r="I4" s="22" t="s">
        <v>198</v>
      </c>
    </row>
    <row r="5" spans="1:9" x14ac:dyDescent="0.2">
      <c r="A5" s="105" t="s">
        <v>199</v>
      </c>
      <c r="B5" s="106"/>
      <c r="C5" s="106"/>
      <c r="D5" s="106"/>
      <c r="E5" s="106"/>
      <c r="F5" s="106"/>
      <c r="G5" s="106"/>
      <c r="H5" s="112"/>
      <c r="I5" s="107"/>
    </row>
    <row r="6" spans="1:9" x14ac:dyDescent="0.2">
      <c r="A6" s="113" t="s">
        <v>200</v>
      </c>
      <c r="B6" s="61">
        <v>0</v>
      </c>
      <c r="C6" s="61">
        <f>+'E-Inv AF y Am'!B20</f>
        <v>34384705.804799996</v>
      </c>
      <c r="D6" s="61">
        <v>0</v>
      </c>
      <c r="E6" s="61">
        <v>0</v>
      </c>
      <c r="F6" s="61">
        <v>0</v>
      </c>
      <c r="G6" s="61">
        <v>0</v>
      </c>
      <c r="H6" s="114">
        <v>0</v>
      </c>
      <c r="I6" s="62">
        <f>+SUM(B6:H6)</f>
        <v>34384705.804799996</v>
      </c>
    </row>
    <row r="7" spans="1:9" x14ac:dyDescent="0.2">
      <c r="A7" s="113" t="s">
        <v>201</v>
      </c>
      <c r="B7" s="61">
        <f>+'E-Inv AF y Am'!B23+'E-Inv AF y Am'!B23*InfoInicial!B6</f>
        <v>162000</v>
      </c>
      <c r="C7" s="61">
        <f>+SUM('E-Inv AF y Am'!B24:B28)+SUM('E-Inv AF y Am'!B24:B28)*InfoInicial!B6</f>
        <v>1188000</v>
      </c>
      <c r="D7" s="61">
        <f>+'E-Inv AF y Am'!C31</f>
        <v>162000</v>
      </c>
      <c r="E7" s="61">
        <v>0</v>
      </c>
      <c r="F7" s="61">
        <v>0</v>
      </c>
      <c r="G7" s="61">
        <v>0</v>
      </c>
      <c r="H7" s="114">
        <v>0</v>
      </c>
      <c r="I7" s="62">
        <f>+SUM(B7:H7)</f>
        <v>1512000</v>
      </c>
    </row>
    <row r="8" spans="1:9" x14ac:dyDescent="0.2">
      <c r="A8" s="105" t="s">
        <v>202</v>
      </c>
      <c r="B8" s="61">
        <f>+B6+B7</f>
        <v>162000</v>
      </c>
      <c r="C8" s="61">
        <f t="shared" ref="C8:I8" si="0">+C6+C7</f>
        <v>35572705.804799996</v>
      </c>
      <c r="D8" s="61">
        <f t="shared" si="0"/>
        <v>162000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35896705.804799996</v>
      </c>
    </row>
    <row r="9" spans="1:9" x14ac:dyDescent="0.2">
      <c r="A9" s="113"/>
      <c r="B9" s="85"/>
      <c r="C9" s="85"/>
      <c r="D9" s="85"/>
      <c r="E9" s="85"/>
      <c r="F9" s="85"/>
      <c r="G9" s="85"/>
      <c r="H9" s="115"/>
      <c r="I9" s="61"/>
    </row>
    <row r="10" spans="1:9" x14ac:dyDescent="0.2">
      <c r="A10" s="105" t="s">
        <v>203</v>
      </c>
      <c r="B10" s="61"/>
      <c r="C10" s="61"/>
      <c r="D10" s="61"/>
      <c r="E10" s="61"/>
      <c r="F10" s="61"/>
      <c r="G10" s="61"/>
      <c r="H10" s="114"/>
      <c r="I10" s="61"/>
    </row>
    <row r="11" spans="1:9" x14ac:dyDescent="0.2">
      <c r="A11" s="113" t="s">
        <v>204</v>
      </c>
      <c r="B11" s="61">
        <v>0</v>
      </c>
      <c r="C11" s="61">
        <f>+'E-InvAT'!B6</f>
        <v>1044000</v>
      </c>
      <c r="D11" s="61">
        <f>+'E-InvAT'!C6-'E-InvAT'!B6</f>
        <v>261000</v>
      </c>
      <c r="E11" s="61">
        <f>+'E-InvAT'!D6-'E-InvAT'!C6</f>
        <v>0</v>
      </c>
      <c r="F11" s="61">
        <f>+'E-InvAT'!E6-'E-InvAT'!D6</f>
        <v>0</v>
      </c>
      <c r="G11" s="61">
        <f>+'E-InvAT'!F6-'E-InvAT'!E6</f>
        <v>0</v>
      </c>
      <c r="H11" s="61">
        <f>+'E-InvAT'!G6-'E-InvAT'!F6</f>
        <v>0</v>
      </c>
      <c r="I11" s="61">
        <f>SUM(B11:H11)</f>
        <v>1305000</v>
      </c>
    </row>
    <row r="12" spans="1:9" x14ac:dyDescent="0.2">
      <c r="A12" s="113" t="s">
        <v>205</v>
      </c>
      <c r="B12" s="61"/>
      <c r="C12" s="61"/>
      <c r="D12" s="61"/>
      <c r="E12" s="61"/>
      <c r="F12" s="61"/>
      <c r="G12" s="61"/>
      <c r="H12" s="114"/>
      <c r="I12" s="61"/>
    </row>
    <row r="13" spans="1:9" x14ac:dyDescent="0.2">
      <c r="A13" s="113" t="s">
        <v>206</v>
      </c>
      <c r="B13" s="61"/>
      <c r="C13" s="61"/>
      <c r="D13" s="61"/>
      <c r="E13" s="61"/>
      <c r="F13" s="61"/>
      <c r="G13" s="61"/>
      <c r="H13" s="114"/>
      <c r="I13" s="61"/>
    </row>
    <row r="14" spans="1:9" x14ac:dyDescent="0.2">
      <c r="A14" s="113" t="s">
        <v>207</v>
      </c>
      <c r="B14" s="61"/>
      <c r="C14" s="61">
        <f>+'E-InvAT'!B10</f>
        <v>3039255</v>
      </c>
      <c r="D14" s="61">
        <f>+'E-InvAT'!C10-'E-InvAT'!B10</f>
        <v>715626</v>
      </c>
      <c r="E14" s="61">
        <f>+'E-InvAT'!D10-'E-InvAT'!C10</f>
        <v>0</v>
      </c>
      <c r="F14" s="61">
        <f>+'E-InvAT'!E10-'E-InvAT'!D10</f>
        <v>0</v>
      </c>
      <c r="G14" s="61">
        <f>+'E-InvAT'!F10-'E-InvAT'!E10</f>
        <v>0</v>
      </c>
      <c r="H14" s="61">
        <f>+'E-InvAT'!G10-'E-InvAT'!F10</f>
        <v>0</v>
      </c>
      <c r="I14" s="61">
        <f t="shared" ref="I14:I18" si="1">SUM(B14:H14)</f>
        <v>3754881</v>
      </c>
    </row>
    <row r="15" spans="1:9" x14ac:dyDescent="0.2">
      <c r="A15" s="113" t="s">
        <v>208</v>
      </c>
      <c r="B15" s="61"/>
      <c r="C15" s="61">
        <f>+'E-InvAT'!B11</f>
        <v>406463.67928672</v>
      </c>
      <c r="D15" s="61">
        <f>+'E-InvAT'!C11-'E-InvAT'!B11</f>
        <v>101615.91982167994</v>
      </c>
      <c r="E15" s="61">
        <f>+'E-InvAT'!D11-'E-InvAT'!C11</f>
        <v>27529.959756400087</v>
      </c>
      <c r="F15" s="61">
        <f>+'E-InvAT'!E11-'E-InvAT'!D11</f>
        <v>0</v>
      </c>
      <c r="G15" s="61">
        <f>+'E-InvAT'!F11-'E-InvAT'!E11</f>
        <v>1029.4516480000457</v>
      </c>
      <c r="H15" s="61">
        <f>+'E-InvAT'!G11-'E-InvAT'!F11</f>
        <v>0</v>
      </c>
      <c r="I15" s="61">
        <f t="shared" si="1"/>
        <v>536639.01051280007</v>
      </c>
    </row>
    <row r="16" spans="1:9" x14ac:dyDescent="0.2">
      <c r="A16" s="113" t="s">
        <v>209</v>
      </c>
      <c r="B16" s="61"/>
      <c r="C16" s="61">
        <f>+'E-InvAT'!B12</f>
        <v>0</v>
      </c>
      <c r="D16" s="61">
        <f>+'E-InvAT'!C12-'E-InvAT'!B12</f>
        <v>564741</v>
      </c>
      <c r="E16" s="61">
        <f>+'E-InvAT'!D12-'E-InvAT'!C12</f>
        <v>0</v>
      </c>
      <c r="F16" s="61">
        <f>+'E-InvAT'!E12-'E-InvAT'!D12</f>
        <v>0</v>
      </c>
      <c r="G16" s="61">
        <f>+'E-InvAT'!F12-'E-InvAT'!E12</f>
        <v>0</v>
      </c>
      <c r="H16" s="61">
        <f>+'E-InvAT'!G12-'E-InvAT'!F12</f>
        <v>0</v>
      </c>
      <c r="I16" s="61">
        <f t="shared" si="1"/>
        <v>564741</v>
      </c>
    </row>
    <row r="17" spans="1:9" x14ac:dyDescent="0.2">
      <c r="A17" s="113" t="s">
        <v>210</v>
      </c>
      <c r="B17" s="61"/>
      <c r="C17" s="61">
        <f>+'E-InvAT'!B13</f>
        <v>0</v>
      </c>
      <c r="D17" s="61">
        <f>+'E-InvAT'!C13-'E-InvAT'!B13</f>
        <v>323325</v>
      </c>
      <c r="E17" s="61">
        <f>+'E-InvAT'!D13-'E-InvAT'!C13</f>
        <v>0</v>
      </c>
      <c r="F17" s="61">
        <f>+'E-InvAT'!E13-'E-InvAT'!D13</f>
        <v>0</v>
      </c>
      <c r="G17" s="61">
        <f>+'E-InvAT'!F13-'E-InvAT'!E13</f>
        <v>0</v>
      </c>
      <c r="H17" s="61">
        <f>+'E-InvAT'!G13-'E-InvAT'!F13</f>
        <v>0</v>
      </c>
      <c r="I17" s="61">
        <f t="shared" si="1"/>
        <v>323325</v>
      </c>
    </row>
    <row r="18" spans="1:9" x14ac:dyDescent="0.2">
      <c r="A18" s="105" t="s">
        <v>211</v>
      </c>
      <c r="B18" s="61">
        <f>+SUM(C11:C17)</f>
        <v>4489718.6792867202</v>
      </c>
      <c r="C18" s="61">
        <f>+SUM(C14:C17)</f>
        <v>3445718.6792867202</v>
      </c>
      <c r="D18" s="61">
        <f t="shared" ref="D18:H18" si="2">+SUM(D14:D17)</f>
        <v>1705307.9198216801</v>
      </c>
      <c r="E18" s="61">
        <f t="shared" si="2"/>
        <v>27529.959756400087</v>
      </c>
      <c r="F18" s="61">
        <f t="shared" si="2"/>
        <v>0</v>
      </c>
      <c r="G18" s="61">
        <f t="shared" si="2"/>
        <v>1029.4516480000457</v>
      </c>
      <c r="H18" s="61">
        <f t="shared" si="2"/>
        <v>0</v>
      </c>
      <c r="I18" s="61">
        <f t="shared" si="1"/>
        <v>9669304.6897995211</v>
      </c>
    </row>
    <row r="19" spans="1:9" x14ac:dyDescent="0.2">
      <c r="A19" s="113"/>
      <c r="B19" s="85"/>
      <c r="C19" s="85"/>
      <c r="D19" s="85"/>
      <c r="E19" s="85"/>
      <c r="F19" s="85"/>
      <c r="G19" s="85"/>
      <c r="H19" s="115"/>
      <c r="I19" s="61"/>
    </row>
    <row r="20" spans="1:9" x14ac:dyDescent="0.2">
      <c r="A20" s="105" t="s">
        <v>212</v>
      </c>
      <c r="B20" s="85"/>
      <c r="C20" s="85"/>
      <c r="D20" s="85"/>
      <c r="E20" s="85"/>
      <c r="F20" s="85"/>
      <c r="G20" s="85"/>
      <c r="H20" s="115"/>
      <c r="I20" s="61"/>
    </row>
    <row r="21" spans="1:9" x14ac:dyDescent="0.2">
      <c r="A21" s="113" t="s">
        <v>213</v>
      </c>
      <c r="B21" s="61">
        <f>+B8*InfoInicial!$B$3</f>
        <v>34020</v>
      </c>
      <c r="C21" s="61">
        <f>+C8*InfoInicial!$B$3</f>
        <v>7470268.2190079987</v>
      </c>
      <c r="D21" s="61">
        <f>+D8*InfoInicial!$B$3</f>
        <v>34020</v>
      </c>
      <c r="E21" s="61">
        <f>+E8*InfoInicial!$B$3</f>
        <v>0</v>
      </c>
      <c r="F21" s="61">
        <f>+F8*InfoInicial!$B$3</f>
        <v>0</v>
      </c>
      <c r="G21" s="61">
        <f>+G8*InfoInicial!$B$3</f>
        <v>0</v>
      </c>
      <c r="H21" s="61">
        <f>+H8*InfoInicial!$B$3</f>
        <v>0</v>
      </c>
      <c r="I21" s="61">
        <f t="shared" ref="I21:I23" si="3">SUM(B21:H21)</f>
        <v>7538308.2190079987</v>
      </c>
    </row>
    <row r="22" spans="1:9" x14ac:dyDescent="0.2">
      <c r="A22" s="113" t="s">
        <v>214</v>
      </c>
      <c r="B22" s="61">
        <f>+InfoInicial!$B$3*'E-Cal Inv.'!B18</f>
        <v>942840.92265021126</v>
      </c>
      <c r="C22" s="61">
        <f>+InfoInicial!$B$3*'E-Cal Inv.'!C18</f>
        <v>723600.92265021126</v>
      </c>
      <c r="D22" s="61">
        <f>+InfoInicial!$B$3*'E-Cal Inv.'!D18</f>
        <v>358114.66316255281</v>
      </c>
      <c r="E22" s="61">
        <f>+InfoInicial!$B$3*'E-Cal Inv.'!E18</f>
        <v>5781.2915488440176</v>
      </c>
      <c r="F22" s="61">
        <f>+InfoInicial!$B$3*'E-Cal Inv.'!F18</f>
        <v>0</v>
      </c>
      <c r="G22" s="61">
        <f>+InfoInicial!$B$3*'E-Cal Inv.'!G18</f>
        <v>216.18484608000958</v>
      </c>
      <c r="H22" s="61">
        <f>+InfoInicial!$B$3*'E-Cal Inv.'!H18</f>
        <v>0</v>
      </c>
      <c r="I22" s="61">
        <f t="shared" si="3"/>
        <v>2030553.9848578991</v>
      </c>
    </row>
    <row r="23" spans="1:9" x14ac:dyDescent="0.2">
      <c r="A23" s="105" t="s">
        <v>215</v>
      </c>
      <c r="B23" s="61">
        <f>+B21+B22</f>
        <v>976860.92265021126</v>
      </c>
      <c r="C23" s="61">
        <f t="shared" ref="C23:H23" si="4">+C21+C22</f>
        <v>8193869.1416582102</v>
      </c>
      <c r="D23" s="61">
        <f t="shared" si="4"/>
        <v>392134.66316255281</v>
      </c>
      <c r="E23" s="61">
        <f t="shared" si="4"/>
        <v>5781.2915488440176</v>
      </c>
      <c r="F23" s="61">
        <f t="shared" si="4"/>
        <v>0</v>
      </c>
      <c r="G23" s="61">
        <f t="shared" si="4"/>
        <v>216.18484608000958</v>
      </c>
      <c r="H23" s="61">
        <f t="shared" si="4"/>
        <v>0</v>
      </c>
      <c r="I23" s="61">
        <f t="shared" si="3"/>
        <v>9568862.2038659006</v>
      </c>
    </row>
    <row r="24" spans="1:9" x14ac:dyDescent="0.2">
      <c r="A24" s="105"/>
      <c r="B24" s="85"/>
      <c r="C24" s="85"/>
      <c r="D24" s="85"/>
      <c r="E24" s="85"/>
      <c r="F24" s="85"/>
      <c r="G24" s="85"/>
      <c r="H24" s="115"/>
      <c r="I24" s="86"/>
    </row>
    <row r="25" spans="1:9" x14ac:dyDescent="0.2">
      <c r="A25" s="109" t="s">
        <v>216</v>
      </c>
      <c r="B25" s="68">
        <f>+B8+B18+B23</f>
        <v>5628579.6019369317</v>
      </c>
      <c r="C25" s="68">
        <f t="shared" ref="C25:I25" si="5">+C8+C18+C23</f>
        <v>47212293.625744924</v>
      </c>
      <c r="D25" s="68">
        <f t="shared" si="5"/>
        <v>2259442.5829842328</v>
      </c>
      <c r="E25" s="68">
        <f t="shared" si="5"/>
        <v>33311.251305244106</v>
      </c>
      <c r="F25" s="68">
        <f t="shared" si="5"/>
        <v>0</v>
      </c>
      <c r="G25" s="68">
        <f t="shared" si="5"/>
        <v>1245.6364940800552</v>
      </c>
      <c r="H25" s="68">
        <f t="shared" si="5"/>
        <v>0</v>
      </c>
      <c r="I25" s="68">
        <f t="shared" si="5"/>
        <v>55134872.698465422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zoomScale="90" zoomScaleNormal="90" workbookViewId="0"/>
  </sheetViews>
  <sheetFormatPr defaultColWidth="11.28515625" defaultRowHeight="12.75" x14ac:dyDescent="0.2"/>
  <cols>
    <col min="1" max="1" width="28" style="16" customWidth="1"/>
    <col min="2" max="2" width="13.85546875" style="16" customWidth="1"/>
    <col min="3" max="7" width="15.140625" style="16" bestFit="1" customWidth="1"/>
    <col min="8" max="8" width="17.28515625" style="16" customWidth="1"/>
    <col min="9" max="16384" width="11.28515625" style="16"/>
  </cols>
  <sheetData>
    <row r="1" spans="1:7" x14ac:dyDescent="0.2">
      <c r="A1" s="1" t="s">
        <v>0</v>
      </c>
      <c r="B1"/>
      <c r="C1"/>
      <c r="D1"/>
      <c r="G1" s="2">
        <f>InfoInicial!E1</f>
        <v>6</v>
      </c>
    </row>
    <row r="2" spans="1:7" ht="15.75" x14ac:dyDescent="0.25">
      <c r="A2" s="117" t="s">
        <v>217</v>
      </c>
      <c r="B2" s="54"/>
      <c r="C2" s="54"/>
      <c r="D2" s="54"/>
      <c r="E2" s="54"/>
      <c r="F2" s="54"/>
      <c r="G2" s="55"/>
    </row>
    <row r="3" spans="1:7" ht="15.75" x14ac:dyDescent="0.25">
      <c r="A3" s="118"/>
      <c r="B3" s="119" t="s">
        <v>218</v>
      </c>
      <c r="C3" s="119"/>
      <c r="D3" s="119"/>
      <c r="E3" s="119"/>
      <c r="F3" s="119"/>
      <c r="G3" s="120"/>
    </row>
    <row r="4" spans="1:7" x14ac:dyDescent="0.2">
      <c r="A4" s="121" t="s">
        <v>94</v>
      </c>
      <c r="B4" s="110" t="s">
        <v>53</v>
      </c>
      <c r="C4" s="21" t="s">
        <v>54</v>
      </c>
      <c r="D4" s="21" t="s">
        <v>95</v>
      </c>
      <c r="E4" s="21" t="s">
        <v>96</v>
      </c>
      <c r="F4" s="21" t="s">
        <v>97</v>
      </c>
      <c r="G4" s="22" t="s">
        <v>98</v>
      </c>
    </row>
    <row r="5" spans="1:7" x14ac:dyDescent="0.2">
      <c r="A5" s="122" t="s">
        <v>219</v>
      </c>
      <c r="B5" s="123"/>
      <c r="C5" s="106"/>
      <c r="D5" s="106"/>
      <c r="E5" s="106"/>
      <c r="F5" s="106"/>
      <c r="G5" s="107"/>
    </row>
    <row r="6" spans="1:7" x14ac:dyDescent="0.2">
      <c r="A6" s="124" t="s">
        <v>220</v>
      </c>
      <c r="B6" s="125"/>
      <c r="C6" s="61">
        <f>+InfoInicial!$B$3*'E-Costos'!B7</f>
        <v>6886844.0549999997</v>
      </c>
      <c r="D6" s="61">
        <f>+InfoInicial!$B$3*'E-Costos'!C7</f>
        <v>7234030.4399999995</v>
      </c>
      <c r="E6" s="61">
        <f>+InfoInicial!$B$3*'E-Costos'!D7</f>
        <v>7234030.4399999995</v>
      </c>
      <c r="F6" s="61">
        <f>+InfoInicial!$B$3*'E-Costos'!E7</f>
        <v>7234030.4399999995</v>
      </c>
      <c r="G6" s="61">
        <f>+InfoInicial!$B$3*'E-Costos'!F7</f>
        <v>7234030.4399999995</v>
      </c>
    </row>
    <row r="7" spans="1:7" x14ac:dyDescent="0.2">
      <c r="A7" s="124" t="s">
        <v>104</v>
      </c>
      <c r="B7" s="125"/>
      <c r="C7" s="61">
        <f>+InfoInicial!$B$3*'E-Costos'!B12</f>
        <v>207727.34911803837</v>
      </c>
      <c r="D7" s="61">
        <f>+InfoInicial!$B$3*'E-Costos'!C12</f>
        <v>218660.367492672</v>
      </c>
      <c r="E7" s="61">
        <f>+InfoInicial!$B$3*'E-Costos'!D12</f>
        <v>218660.367492672</v>
      </c>
      <c r="F7" s="61">
        <f>+InfoInicial!$B$3*'E-Costos'!E12</f>
        <v>219092.73718483199</v>
      </c>
      <c r="G7" s="61">
        <f>+InfoInicial!$B$3*'E-Costos'!F12</f>
        <v>219092.73718483199</v>
      </c>
    </row>
    <row r="8" spans="1:7" x14ac:dyDescent="0.2">
      <c r="A8" s="124" t="s">
        <v>105</v>
      </c>
      <c r="B8" s="125"/>
      <c r="C8" s="61">
        <f>+InfoInicial!$B$3*'E-Costos'!B13</f>
        <v>39322.906793099995</v>
      </c>
      <c r="D8" s="61">
        <f>+InfoInicial!$B$3*'E-Costos'!C13</f>
        <v>43692.118659</v>
      </c>
      <c r="E8" s="61">
        <f>+InfoInicial!$B$3*'E-Costos'!D13</f>
        <v>43692.118659</v>
      </c>
      <c r="F8" s="61">
        <f>+InfoInicial!$B$3*'E-Costos'!E13</f>
        <v>43692.118659</v>
      </c>
      <c r="G8" s="61">
        <f>+InfoInicial!$B$3*'E-Costos'!F13</f>
        <v>43692.118659</v>
      </c>
    </row>
    <row r="9" spans="1:7" x14ac:dyDescent="0.2">
      <c r="A9" s="124" t="s">
        <v>106</v>
      </c>
      <c r="B9" s="125"/>
      <c r="C9" s="61">
        <v>0</v>
      </c>
      <c r="D9" s="61">
        <v>0</v>
      </c>
      <c r="E9" s="61">
        <v>0</v>
      </c>
      <c r="F9" s="61">
        <v>0</v>
      </c>
      <c r="G9" s="61">
        <v>0</v>
      </c>
    </row>
    <row r="10" spans="1:7" x14ac:dyDescent="0.2">
      <c r="A10" s="124" t="s">
        <v>221</v>
      </c>
      <c r="B10" s="125"/>
      <c r="C10" s="61">
        <v>0</v>
      </c>
      <c r="D10" s="61">
        <v>0</v>
      </c>
      <c r="E10" s="61">
        <v>0</v>
      </c>
      <c r="F10" s="61">
        <v>0</v>
      </c>
      <c r="G10" s="61">
        <v>0</v>
      </c>
    </row>
    <row r="11" spans="1:7" x14ac:dyDescent="0.2">
      <c r="A11" s="124" t="s">
        <v>129</v>
      </c>
      <c r="B11" s="125"/>
      <c r="C11" s="61">
        <v>0</v>
      </c>
      <c r="D11" s="61">
        <v>0</v>
      </c>
      <c r="E11" s="61">
        <v>0</v>
      </c>
      <c r="F11" s="61">
        <v>0</v>
      </c>
      <c r="G11" s="61">
        <v>0</v>
      </c>
    </row>
    <row r="12" spans="1:7" x14ac:dyDescent="0.2">
      <c r="A12" s="126" t="s">
        <v>89</v>
      </c>
      <c r="B12" s="125"/>
      <c r="C12" s="61">
        <f>+SUM(C6:C11)</f>
        <v>7133894.3109111376</v>
      </c>
      <c r="D12" s="61">
        <f t="shared" ref="D12:G12" si="0">+SUM(D6:D11)</f>
        <v>7496382.9261516714</v>
      </c>
      <c r="E12" s="61">
        <f t="shared" si="0"/>
        <v>7496382.9261516714</v>
      </c>
      <c r="F12" s="61">
        <f t="shared" si="0"/>
        <v>7496815.2958438313</v>
      </c>
      <c r="G12" s="61">
        <f t="shared" si="0"/>
        <v>7496815.2958438313</v>
      </c>
    </row>
    <row r="13" spans="1:7" x14ac:dyDescent="0.2">
      <c r="A13" s="124" t="s">
        <v>222</v>
      </c>
      <c r="B13" s="125"/>
      <c r="C13" s="61">
        <f>+('E-Costos'!G35-'E-Costos'!G26)*InfoInicial!B3</f>
        <v>236289.64765345992</v>
      </c>
      <c r="D13" s="61">
        <v>0</v>
      </c>
      <c r="E13" s="61">
        <v>0</v>
      </c>
      <c r="F13" s="61">
        <v>0</v>
      </c>
      <c r="G13" s="61">
        <v>0</v>
      </c>
    </row>
    <row r="14" spans="1:7" x14ac:dyDescent="0.2">
      <c r="A14" s="124" t="s">
        <v>223</v>
      </c>
      <c r="B14" s="127"/>
      <c r="C14" s="85"/>
      <c r="D14" s="85"/>
      <c r="E14" s="85"/>
      <c r="F14" s="85"/>
      <c r="G14" s="86"/>
    </row>
    <row r="15" spans="1:7" x14ac:dyDescent="0.2">
      <c r="A15" s="124" t="s">
        <v>224</v>
      </c>
      <c r="B15" s="125"/>
      <c r="C15" s="61">
        <f>+'E-InvAT'!C32</f>
        <v>120745.88012677532</v>
      </c>
      <c r="D15" s="61">
        <f>+'E-InvAT'!D32</f>
        <v>3.5437500380154234</v>
      </c>
      <c r="E15" s="61">
        <f>+'E-InvAT'!E32</f>
        <v>0</v>
      </c>
      <c r="F15" s="61">
        <f>+'E-InvAT'!F32</f>
        <v>0</v>
      </c>
      <c r="G15" s="61">
        <f>+'E-InvAT'!G32</f>
        <v>0</v>
      </c>
    </row>
    <row r="16" spans="1:7" x14ac:dyDescent="0.2">
      <c r="A16" s="124" t="s">
        <v>225</v>
      </c>
      <c r="B16" s="125"/>
      <c r="C16" s="61">
        <f>+'E-InvAT'!C33</f>
        <v>74488.747371835299</v>
      </c>
      <c r="D16" s="61">
        <f>+'E-InvAT'!D33</f>
        <v>-1162.1714264925395</v>
      </c>
      <c r="E16" s="61">
        <f>+'E-InvAT'!E33</f>
        <v>0</v>
      </c>
      <c r="F16" s="61">
        <f>+'E-InvAT'!F33</f>
        <v>4.3236969215940917</v>
      </c>
      <c r="G16" s="61">
        <f>+'E-InvAT'!G33</f>
        <v>0</v>
      </c>
    </row>
    <row r="17" spans="1:7" x14ac:dyDescent="0.2">
      <c r="A17" s="126" t="s">
        <v>226</v>
      </c>
      <c r="B17" s="125"/>
      <c r="C17" s="61">
        <f>+C12-C13-C15-C16</f>
        <v>6702370.0357590672</v>
      </c>
      <c r="D17" s="61">
        <f t="shared" ref="D17:G17" si="1">+D12-D13-D15-D16</f>
        <v>7497541.5538281258</v>
      </c>
      <c r="E17" s="61">
        <f t="shared" si="1"/>
        <v>7496382.9261516714</v>
      </c>
      <c r="F17" s="61">
        <f t="shared" si="1"/>
        <v>7496810.9721469097</v>
      </c>
      <c r="G17" s="61">
        <f t="shared" si="1"/>
        <v>7496815.2958438313</v>
      </c>
    </row>
    <row r="18" spans="1:7" x14ac:dyDescent="0.2">
      <c r="A18" s="126" t="s">
        <v>227</v>
      </c>
      <c r="B18" s="125"/>
      <c r="C18" s="61">
        <f>+InfoInicial!$B$3*('E-Costos'!B54+'E-Costos'!B55+'E-Costos'!B56+'E-Costos'!B57)</f>
        <v>41402.1889300572</v>
      </c>
      <c r="D18" s="61">
        <f>+InfoInicial!$B$3*('E-Costos'!C54+'E-Costos'!C55+'E-Costos'!C56+'E-Costos'!C57)</f>
        <v>43202.432144507999</v>
      </c>
      <c r="E18" s="61">
        <f>+InfoInicial!$B$3*('E-Costos'!D54+'E-Costos'!D55+'E-Costos'!D56+'E-Costos'!D57)</f>
        <v>43202.432144507999</v>
      </c>
      <c r="F18" s="61">
        <f>+InfoInicial!$B$3*('E-Costos'!E54+'E-Costos'!E55+'E-Costos'!E56+'E-Costos'!E57)</f>
        <v>43202.432144507999</v>
      </c>
      <c r="G18" s="61">
        <f>+InfoInicial!$B$3*('E-Costos'!F54+'E-Costos'!F55+'E-Costos'!F56+'E-Costos'!F57)</f>
        <v>43202.432144507999</v>
      </c>
    </row>
    <row r="19" spans="1:7" x14ac:dyDescent="0.2">
      <c r="A19" s="126" t="s">
        <v>228</v>
      </c>
      <c r="B19" s="125"/>
      <c r="C19" s="61">
        <f>+InfoInicial!$B$3*('E-Costos'!B71+'E-Costos'!B72+'E-Costos'!B73+'E-Costos'!B74)</f>
        <v>57863.517980780394</v>
      </c>
      <c r="D19" s="61">
        <f>+InfoInicial!$B$3*('E-Costos'!C71+'E-Costos'!C72+'E-Costos'!C73+'E-Costos'!C74)</f>
        <v>60326.131089755996</v>
      </c>
      <c r="E19" s="61">
        <f>+InfoInicial!$B$3*('E-Costos'!D71+'E-Costos'!D72+'E-Costos'!D73+'E-Costos'!D74)</f>
        <v>60326.131089755996</v>
      </c>
      <c r="F19" s="61">
        <f>+InfoInicial!$B$3*('E-Costos'!E71+'E-Costos'!E72+'E-Costos'!E73+'E-Costos'!E74)</f>
        <v>60326.131089755996</v>
      </c>
      <c r="G19" s="61">
        <f>+InfoInicial!$B$3*('E-Costos'!F71+'E-Costos'!F72+'E-Costos'!F73+'E-Costos'!F74)</f>
        <v>60326.131089755996</v>
      </c>
    </row>
    <row r="20" spans="1:7" x14ac:dyDescent="0.2">
      <c r="A20" s="126"/>
      <c r="B20" s="127"/>
      <c r="C20" s="85"/>
      <c r="D20" s="85"/>
      <c r="E20" s="85"/>
      <c r="F20" s="85"/>
      <c r="G20" s="86"/>
    </row>
    <row r="21" spans="1:7" x14ac:dyDescent="0.2">
      <c r="A21" s="124" t="s">
        <v>229</v>
      </c>
      <c r="B21" s="125"/>
      <c r="C21" s="61">
        <f>+C17+C18+C19</f>
        <v>6801635.7426699046</v>
      </c>
      <c r="D21" s="61">
        <f t="shared" ref="D21:G21" si="2">+D17+D18+D19</f>
        <v>7601070.1170623899</v>
      </c>
      <c r="E21" s="61">
        <f t="shared" si="2"/>
        <v>7599911.4893859355</v>
      </c>
      <c r="F21" s="61">
        <f t="shared" si="2"/>
        <v>7600339.5353811737</v>
      </c>
      <c r="G21" s="61">
        <f t="shared" si="2"/>
        <v>7600343.8590780953</v>
      </c>
    </row>
    <row r="22" spans="1:7" x14ac:dyDescent="0.2">
      <c r="A22" s="124" t="s">
        <v>230</v>
      </c>
      <c r="B22" s="125"/>
      <c r="C22" s="61">
        <f>+InfoInicial!$B$3*'E-Costos'!B88</f>
        <v>12258256.5</v>
      </c>
      <c r="D22" s="61">
        <f>+InfoInicial!$B$3*'E-Costos'!C88</f>
        <v>13702500</v>
      </c>
      <c r="E22" s="61">
        <f>+InfoInicial!$B$3*'E-Costos'!D88</f>
        <v>13702500</v>
      </c>
      <c r="F22" s="61">
        <f>+InfoInicial!$B$3*'E-Costos'!E88</f>
        <v>13702500</v>
      </c>
      <c r="G22" s="61">
        <f>+InfoInicial!$B$3*'E-Costos'!F88</f>
        <v>13702500</v>
      </c>
    </row>
    <row r="23" spans="1:7" x14ac:dyDescent="0.2">
      <c r="A23" s="126" t="s">
        <v>231</v>
      </c>
      <c r="B23" s="125"/>
      <c r="C23" s="61">
        <f>+C22-C21</f>
        <v>5456620.7573300954</v>
      </c>
      <c r="D23" s="61">
        <f t="shared" ref="D23:G23" si="3">+D22-D21</f>
        <v>6101429.8829376101</v>
      </c>
      <c r="E23" s="61">
        <f t="shared" si="3"/>
        <v>6102588.5106140645</v>
      </c>
      <c r="F23" s="61">
        <f t="shared" si="3"/>
        <v>6102160.4646188263</v>
      </c>
      <c r="G23" s="61">
        <f t="shared" si="3"/>
        <v>6102156.1409219047</v>
      </c>
    </row>
    <row r="24" spans="1:7" x14ac:dyDescent="0.2">
      <c r="A24" s="124"/>
      <c r="B24" s="127"/>
      <c r="C24" s="85"/>
      <c r="D24" s="85"/>
      <c r="E24" s="85"/>
      <c r="F24" s="85"/>
      <c r="G24" s="86"/>
    </row>
    <row r="25" spans="1:7" x14ac:dyDescent="0.2">
      <c r="A25" s="128" t="s">
        <v>232</v>
      </c>
      <c r="B25" s="125"/>
      <c r="C25" s="61">
        <f>+B27</f>
        <v>9170730.0643084217</v>
      </c>
      <c r="D25" s="61">
        <f t="shared" ref="D25:G25" si="4">+C27</f>
        <v>4106243.97014088</v>
      </c>
      <c r="E25" s="61">
        <f t="shared" si="4"/>
        <v>0</v>
      </c>
      <c r="F25" s="61">
        <f t="shared" si="4"/>
        <v>0</v>
      </c>
      <c r="G25" s="61">
        <f t="shared" si="4"/>
        <v>0</v>
      </c>
    </row>
    <row r="26" spans="1:7" x14ac:dyDescent="0.2">
      <c r="A26" s="128" t="s">
        <v>233</v>
      </c>
      <c r="B26" s="125">
        <f>+'E-Cal Inv.'!B23+'E-Cal Inv.'!C23</f>
        <v>9170730.0643084217</v>
      </c>
      <c r="C26" s="61">
        <f>+'E-Cal Inv.'!D23</f>
        <v>392134.66316255281</v>
      </c>
      <c r="D26" s="61">
        <f>+'E-Cal Inv.'!E23</f>
        <v>5781.2915488440176</v>
      </c>
      <c r="E26" s="61">
        <f>+'E-Cal Inv.'!F23</f>
        <v>0</v>
      </c>
      <c r="F26" s="61">
        <f>+'E-Cal Inv.'!G23</f>
        <v>216.18484608000958</v>
      </c>
      <c r="G26" s="61">
        <f>+'E-Cal Inv.'!H23</f>
        <v>0</v>
      </c>
    </row>
    <row r="27" spans="1:7" x14ac:dyDescent="0.2">
      <c r="A27" s="126" t="s">
        <v>234</v>
      </c>
      <c r="B27" s="125">
        <f>+B25+B26-B23</f>
        <v>9170730.0643084217</v>
      </c>
      <c r="C27" s="125">
        <f>+C25+C26-C23</f>
        <v>4106243.97014088</v>
      </c>
      <c r="D27" s="61">
        <v>0</v>
      </c>
      <c r="E27" s="61">
        <v>0</v>
      </c>
      <c r="F27" s="61">
        <v>0</v>
      </c>
      <c r="G27" s="62">
        <v>0</v>
      </c>
    </row>
    <row r="28" spans="1:7" ht="13.5" thickBot="1" x14ac:dyDescent="0.25">
      <c r="A28" s="126" t="s">
        <v>235</v>
      </c>
      <c r="B28" s="367">
        <f t="shared" ref="B28:G28" si="5">B25+B26-B27</f>
        <v>0</v>
      </c>
      <c r="C28" s="367">
        <f t="shared" si="5"/>
        <v>5456620.7573300954</v>
      </c>
      <c r="D28" s="367">
        <f t="shared" si="5"/>
        <v>4112025.2616897239</v>
      </c>
      <c r="E28" s="367">
        <f t="shared" si="5"/>
        <v>0</v>
      </c>
      <c r="F28" s="367">
        <f t="shared" si="5"/>
        <v>216.18484608000958</v>
      </c>
      <c r="G28" s="368">
        <f t="shared" si="5"/>
        <v>0</v>
      </c>
    </row>
    <row r="29" spans="1:7" x14ac:dyDescent="0.2">
      <c r="A29" s="124"/>
      <c r="B29" s="127"/>
      <c r="C29" s="85"/>
      <c r="D29" s="85"/>
      <c r="E29" s="85"/>
      <c r="F29" s="85"/>
      <c r="G29" s="86"/>
    </row>
    <row r="30" spans="1:7" ht="13.5" thickBot="1" x14ac:dyDescent="0.25">
      <c r="A30" s="129" t="s">
        <v>236</v>
      </c>
      <c r="B30" s="369">
        <f>B23-B28</f>
        <v>0</v>
      </c>
      <c r="C30" s="369">
        <f>C23-C28</f>
        <v>0</v>
      </c>
      <c r="D30" s="369">
        <f>D23-D28</f>
        <v>1989404.6212478862</v>
      </c>
      <c r="E30" s="369">
        <f>E23-E28</f>
        <v>6102588.5106140645</v>
      </c>
      <c r="F30" s="369">
        <f>F23-F27</f>
        <v>6102160.4646188263</v>
      </c>
      <c r="G30" s="369">
        <f>G23-G27</f>
        <v>6102156.1409219047</v>
      </c>
    </row>
    <row r="31" spans="1:7" ht="13.5" thickTop="1" x14ac:dyDescent="0.2"/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4</vt:i4>
      </vt:variant>
    </vt:vector>
  </HeadingPairs>
  <TitlesOfParts>
    <vt:vector size="21" baseType="lpstr">
      <vt:lpstr>InfoInicial</vt:lpstr>
      <vt:lpstr>E-Inv AF y Am</vt:lpstr>
      <vt:lpstr>Info-Inv AF y Am</vt:lpstr>
      <vt:lpstr>E-Costos</vt:lpstr>
      <vt:lpstr>Info-Costos</vt:lpstr>
      <vt:lpstr>E-InvAT</vt:lpstr>
      <vt:lpstr>Info-InvAT</vt:lpstr>
      <vt:lpstr>E-Cal Inv.</vt:lpstr>
      <vt:lpstr>E-IVA </vt:lpstr>
      <vt:lpstr>E-Form</vt:lpstr>
      <vt:lpstr>F-Cred</vt:lpstr>
      <vt:lpstr>F-CRes</vt:lpstr>
      <vt:lpstr>F-2 Estructura</vt:lpstr>
      <vt:lpstr>F-IVA</vt:lpstr>
      <vt:lpstr>F- CFyU</vt:lpstr>
      <vt:lpstr>F-Balance</vt:lpstr>
      <vt:lpstr>F- Form</vt:lpstr>
      <vt:lpstr>'E-Costos'!Print_Area</vt:lpstr>
      <vt:lpstr>'F- CFyU'!Print_Area</vt:lpstr>
      <vt:lpstr>'F-Balance'!Print_Area</vt:lpstr>
      <vt:lpstr>'F-Cred'!Print_Area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BOGLIOLO Nicolas A. TENARIS</cp:lastModifiedBy>
  <dcterms:created xsi:type="dcterms:W3CDTF">2019-09-11T02:34:59Z</dcterms:created>
  <dcterms:modified xsi:type="dcterms:W3CDTF">2019-09-20T17:31:39Z</dcterms:modified>
</cp:coreProperties>
</file>