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2760" yWindow="32760" windowWidth="15345" windowHeight="4470" tabRatio="861" activeTab="3"/>
  </bookViews>
  <sheets>
    <sheet name="Datos" sheetId="15" r:id="rId1"/>
    <sheet name="InfoInicial" sheetId="1" r:id="rId2"/>
    <sheet name="E-Inv AF y Am" sheetId="2" r:id="rId3"/>
    <sheet name="E-Costos" sheetId="3" r:id="rId4"/>
    <sheet name="E-InvAT" sheetId="4" r:id="rId5"/>
    <sheet name="E-Cal Inv." sheetId="5" r:id="rId6"/>
    <sheet name="E-IVA " sheetId="6" r:id="rId7"/>
    <sheet name="E-Form" sheetId="7" r:id="rId8"/>
    <sheet name="F-Cred" sheetId="8" r:id="rId9"/>
    <sheet name="F-CRes" sheetId="9" r:id="rId10"/>
    <sheet name="F-2 Estructura" sheetId="10" r:id="rId11"/>
    <sheet name="F-IVA" sheetId="11" r:id="rId12"/>
    <sheet name="F- CFyU" sheetId="12" r:id="rId13"/>
    <sheet name="F-Balance" sheetId="13" r:id="rId14"/>
    <sheet name="F- Form" sheetId="14" r:id="rId15"/>
    <sheet name="Hoja2" sheetId="16" r:id="rId16"/>
  </sheets>
  <externalReferences>
    <externalReference r:id="rId17"/>
  </externalReferences>
  <definedNames>
    <definedName name="_xlnm.Print_Area" localSheetId="3">('E-Costos'!$A$3:$G$47,'E-Costos'!$A$50:$F$81,'E-Costos'!$A$84:$F$138)</definedName>
    <definedName name="_xlnm.Print_Area" localSheetId="12">'F- CFyU'!$A$3:$H$28</definedName>
    <definedName name="_xlnm.Print_Area" localSheetId="13">'F-Balance'!$A$3:$G$35</definedName>
    <definedName name="_xlnm.Print_Area" localSheetId="8">'F-Cred'!$A$1:$I$54</definedName>
    <definedName name="Excel_BuiltIn_Print_Area" localSheetId="12">('F- CFyU'!#REF!,'F- CFyU'!#REF!,'F- CFyU'!$A$3:$H$28)</definedName>
    <definedName name="Excel_BuiltIn_Print_Area" localSheetId="13">('F-Balance'!#REF!,'F-Balance'!#REF!,'F-Balance'!$A$3:$G$35)</definedName>
  </definedNames>
  <calcPr calcId="145621"/>
</workbook>
</file>

<file path=xl/calcChain.xml><?xml version="1.0" encoding="utf-8"?>
<calcChain xmlns="http://schemas.openxmlformats.org/spreadsheetml/2006/main">
  <c r="B180" i="3" l="1"/>
  <c r="E165" i="3"/>
  <c r="E166" i="3"/>
  <c r="E167" i="3"/>
  <c r="E168" i="3"/>
  <c r="E169" i="3"/>
  <c r="E170" i="3"/>
  <c r="E171" i="3"/>
  <c r="E172" i="3"/>
  <c r="E173" i="3"/>
  <c r="E174" i="3"/>
  <c r="E175" i="3"/>
  <c r="E176" i="3"/>
  <c r="E177" i="3"/>
  <c r="E178" i="3"/>
  <c r="E179" i="3"/>
  <c r="E164" i="3"/>
  <c r="E144" i="3"/>
  <c r="E145" i="3"/>
  <c r="E146" i="3"/>
  <c r="E147" i="3"/>
  <c r="E148" i="3"/>
  <c r="E149" i="3"/>
  <c r="E150" i="3"/>
  <c r="E151" i="3"/>
  <c r="E152" i="3"/>
  <c r="E153" i="3"/>
  <c r="E154" i="3"/>
  <c r="E155" i="3"/>
  <c r="E156" i="3"/>
  <c r="E157" i="3"/>
  <c r="E158" i="3"/>
  <c r="E143" i="3"/>
  <c r="B12" i="2" l="1"/>
  <c r="B46" i="2"/>
  <c r="D9" i="15"/>
  <c r="E46" i="2" l="1"/>
  <c r="B48" i="2"/>
  <c r="B44" i="2"/>
  <c r="B43" i="2"/>
  <c r="C12" i="15"/>
  <c r="B8" i="2"/>
  <c r="B45" i="2"/>
  <c r="B47" i="2"/>
  <c r="G45" i="2"/>
  <c r="G67" i="15"/>
  <c r="G69" i="15"/>
  <c r="G68" i="15"/>
  <c r="H102" i="15"/>
  <c r="G105" i="15"/>
  <c r="B29" i="3"/>
  <c r="C49" i="15"/>
  <c r="C47" i="15"/>
  <c r="C50" i="15"/>
  <c r="C48" i="15"/>
  <c r="B69" i="3"/>
  <c r="K130" i="15"/>
  <c r="M129" i="15"/>
  <c r="M128" i="15"/>
  <c r="N129" i="15"/>
  <c r="K127" i="15"/>
  <c r="N128" i="15"/>
  <c r="I92" i="15"/>
  <c r="G93" i="15"/>
  <c r="B26" i="3"/>
  <c r="K128" i="15"/>
  <c r="B8" i="7"/>
  <c r="B7" i="7"/>
  <c r="B6" i="7"/>
  <c r="K4" i="7"/>
  <c r="F21" i="5"/>
  <c r="G21" i="5"/>
  <c r="H21" i="5"/>
  <c r="E21" i="5"/>
  <c r="C17" i="5"/>
  <c r="C16" i="5"/>
  <c r="C73" i="15"/>
  <c r="C74" i="15"/>
  <c r="B33" i="4"/>
  <c r="B32" i="4"/>
  <c r="B16" i="4"/>
  <c r="B63" i="15"/>
  <c r="C55" i="3"/>
  <c r="H103" i="15"/>
  <c r="G106" i="15"/>
  <c r="B8" i="3"/>
  <c r="B11" i="3"/>
  <c r="C8" i="3"/>
  <c r="C91" i="3"/>
  <c r="B94" i="15"/>
  <c r="F89" i="15"/>
  <c r="E89" i="15"/>
  <c r="J27" i="15"/>
  <c r="F67" i="15"/>
  <c r="B7" i="2"/>
  <c r="D18" i="15"/>
  <c r="D24" i="15"/>
  <c r="B16" i="2"/>
  <c r="D19" i="15"/>
  <c r="D20" i="15"/>
  <c r="D21" i="15"/>
  <c r="D22" i="15"/>
  <c r="D23" i="15"/>
  <c r="D101" i="3"/>
  <c r="E101" i="3"/>
  <c r="F101" i="3"/>
  <c r="C101" i="3"/>
  <c r="B101" i="3"/>
  <c r="D14" i="3"/>
  <c r="E9" i="6"/>
  <c r="E14" i="3"/>
  <c r="F9" i="6"/>
  <c r="F14" i="3"/>
  <c r="G9" i="6"/>
  <c r="B14" i="3"/>
  <c r="C14" i="3"/>
  <c r="F129" i="15"/>
  <c r="F131" i="15"/>
  <c r="E32" i="3" s="1"/>
  <c r="B86" i="3"/>
  <c r="B88" i="3"/>
  <c r="J69" i="15"/>
  <c r="C86" i="3"/>
  <c r="D86" i="3"/>
  <c r="E86" i="3"/>
  <c r="F86" i="3"/>
  <c r="C87" i="3"/>
  <c r="D87" i="3"/>
  <c r="E87" i="3"/>
  <c r="F87" i="3"/>
  <c r="B87" i="3"/>
  <c r="D11" i="3"/>
  <c r="E11" i="3"/>
  <c r="F11" i="3"/>
  <c r="C11" i="3"/>
  <c r="D8" i="3"/>
  <c r="D91" i="3"/>
  <c r="E8" i="3"/>
  <c r="E91" i="3"/>
  <c r="F8" i="3"/>
  <c r="F91" i="3"/>
  <c r="K53" i="2"/>
  <c r="K48" i="2"/>
  <c r="K45" i="2"/>
  <c r="K44" i="2"/>
  <c r="C53" i="2"/>
  <c r="B9" i="2"/>
  <c r="D69" i="3"/>
  <c r="D52" i="3"/>
  <c r="J54" i="15"/>
  <c r="F5" i="15"/>
  <c r="F7" i="15"/>
  <c r="C49" i="2"/>
  <c r="C50" i="2"/>
  <c r="C48" i="2"/>
  <c r="C47" i="2"/>
  <c r="C46" i="2"/>
  <c r="C45" i="2"/>
  <c r="C44" i="2"/>
  <c r="D14" i="2"/>
  <c r="B14" i="2"/>
  <c r="C6" i="15"/>
  <c r="C4" i="15"/>
  <c r="D4" i="15"/>
  <c r="B31" i="15"/>
  <c r="F31" i="15"/>
  <c r="B29" i="15"/>
  <c r="F29" i="15"/>
  <c r="B30" i="15"/>
  <c r="F30" i="15"/>
  <c r="B28" i="15"/>
  <c r="F28" i="15"/>
  <c r="F36" i="15"/>
  <c r="G36" i="15"/>
  <c r="H36" i="15"/>
  <c r="F32" i="15"/>
  <c r="F33" i="15"/>
  <c r="F34" i="15"/>
  <c r="F35" i="15"/>
  <c r="D5" i="15"/>
  <c r="D7" i="15"/>
  <c r="D8" i="15"/>
  <c r="F8" i="15"/>
  <c r="D31" i="2"/>
  <c r="E31" i="2"/>
  <c r="C18" i="2"/>
  <c r="C20" i="2"/>
  <c r="E18" i="2"/>
  <c r="E20" i="2"/>
  <c r="E33" i="2"/>
  <c r="E36" i="2"/>
  <c r="G1" i="5"/>
  <c r="E3" i="3"/>
  <c r="G1" i="7"/>
  <c r="E1" i="2"/>
  <c r="E1" i="4"/>
  <c r="G1" i="6"/>
  <c r="E1" i="12"/>
  <c r="G1" i="14"/>
  <c r="L25" i="14"/>
  <c r="L26" i="14"/>
  <c r="L27" i="14"/>
  <c r="L28" i="14"/>
  <c r="L30" i="14"/>
  <c r="L31" i="14"/>
  <c r="L32" i="14"/>
  <c r="L33" i="14"/>
  <c r="L34" i="14"/>
  <c r="L36" i="14"/>
  <c r="D1" i="10"/>
  <c r="E1" i="13"/>
  <c r="B38" i="13"/>
  <c r="C38" i="13"/>
  <c r="D38" i="13"/>
  <c r="E38" i="13"/>
  <c r="F38" i="13"/>
  <c r="G38" i="13"/>
  <c r="F1" i="8"/>
  <c r="F1" i="9"/>
  <c r="E1" i="11"/>
  <c r="B84" i="15"/>
  <c r="D55" i="15"/>
  <c r="F4" i="15"/>
  <c r="B52" i="3"/>
  <c r="C52" i="3"/>
  <c r="F52" i="3"/>
  <c r="E52" i="3"/>
  <c r="F88" i="3"/>
  <c r="G22" i="6"/>
  <c r="C88" i="3"/>
  <c r="C7" i="4"/>
  <c r="E88" i="3"/>
  <c r="F6" i="4"/>
  <c r="D6" i="15"/>
  <c r="F6" i="15"/>
  <c r="F9" i="15"/>
  <c r="D88" i="3"/>
  <c r="D56" i="15"/>
  <c r="D54" i="15"/>
  <c r="D57" i="15"/>
  <c r="D58" i="15"/>
  <c r="F69" i="3"/>
  <c r="C69" i="3"/>
  <c r="E69" i="3"/>
  <c r="F22" i="6"/>
  <c r="G6" i="4"/>
  <c r="E6" i="4"/>
  <c r="E22" i="6"/>
  <c r="D22" i="6"/>
  <c r="D7" i="4"/>
  <c r="C29" i="3"/>
  <c r="B55" i="3"/>
  <c r="D72" i="3"/>
  <c r="D11" i="2"/>
  <c r="C13" i="3"/>
  <c r="F121" i="15"/>
  <c r="F123" i="15" s="1"/>
  <c r="B67" i="15"/>
  <c r="C22" i="6"/>
  <c r="C6" i="4"/>
  <c r="B6" i="4" s="1"/>
  <c r="B91" i="3"/>
  <c r="F75" i="3"/>
  <c r="B58" i="3"/>
  <c r="F10" i="4"/>
  <c r="I37" i="15"/>
  <c r="B7" i="3"/>
  <c r="D10" i="4"/>
  <c r="D30" i="4"/>
  <c r="C10" i="4"/>
  <c r="E10" i="4"/>
  <c r="E30" i="4"/>
  <c r="B10" i="4"/>
  <c r="B30" i="4"/>
  <c r="I38" i="15"/>
  <c r="F13" i="3"/>
  <c r="F55" i="3"/>
  <c r="G8" i="6"/>
  <c r="B72" i="3"/>
  <c r="C72" i="3"/>
  <c r="E13" i="3"/>
  <c r="E55" i="3"/>
  <c r="F72" i="3"/>
  <c r="B13" i="3"/>
  <c r="C8" i="6"/>
  <c r="D13" i="3"/>
  <c r="D55" i="3"/>
  <c r="E8" i="6"/>
  <c r="D45" i="2"/>
  <c r="I45" i="2"/>
  <c r="J45" i="2"/>
  <c r="E45" i="2"/>
  <c r="E15" i="3"/>
  <c r="F15" i="3"/>
  <c r="D15" i="3"/>
  <c r="D43" i="2"/>
  <c r="F32" i="3"/>
  <c r="C32" i="3"/>
  <c r="D32" i="3"/>
  <c r="D75" i="3"/>
  <c r="D18" i="2"/>
  <c r="D20" i="2"/>
  <c r="D33" i="2"/>
  <c r="D36" i="2"/>
  <c r="C75" i="3"/>
  <c r="F30" i="4"/>
  <c r="B13" i="2"/>
  <c r="D8" i="6"/>
  <c r="B15" i="3"/>
  <c r="F137" i="15"/>
  <c r="F139" i="15" s="1"/>
  <c r="E58" i="3"/>
  <c r="C9" i="6"/>
  <c r="D9" i="6"/>
  <c r="G14" i="5"/>
  <c r="C14" i="5"/>
  <c r="D48" i="2"/>
  <c r="I48" i="2"/>
  <c r="J48" i="2"/>
  <c r="B25" i="3"/>
  <c r="E25" i="3"/>
  <c r="D25" i="3"/>
  <c r="I43" i="2"/>
  <c r="J43" i="2"/>
  <c r="E43" i="2"/>
  <c r="I53" i="2"/>
  <c r="J53" i="2"/>
  <c r="E44" i="2"/>
  <c r="D44" i="2"/>
  <c r="I44" i="2"/>
  <c r="J44" i="2"/>
  <c r="E48" i="2"/>
  <c r="G48" i="2"/>
  <c r="C30" i="4"/>
  <c r="E14" i="5"/>
  <c r="D14" i="5"/>
  <c r="G43" i="2"/>
  <c r="J136" i="15"/>
  <c r="C6" i="6"/>
  <c r="B90" i="3"/>
  <c r="B15" i="2"/>
  <c r="B50" i="2"/>
  <c r="D59" i="15"/>
  <c r="G59" i="15"/>
  <c r="E29" i="3"/>
  <c r="F29" i="3"/>
  <c r="D29" i="3"/>
  <c r="K129" i="15"/>
  <c r="K132" i="15"/>
  <c r="J138" i="15"/>
  <c r="G25" i="3" s="1"/>
  <c r="F128" i="15"/>
  <c r="F130" i="15" s="1"/>
  <c r="J145" i="15" s="1"/>
  <c r="H92" i="15"/>
  <c r="G94" i="15"/>
  <c r="F14" i="5"/>
  <c r="E75" i="3"/>
  <c r="F58" i="3"/>
  <c r="C25" i="3"/>
  <c r="F25" i="3"/>
  <c r="D6" i="4"/>
  <c r="E11" i="5" s="1"/>
  <c r="E7" i="4"/>
  <c r="K69" i="15"/>
  <c r="B68" i="15"/>
  <c r="G7" i="4"/>
  <c r="F7" i="4"/>
  <c r="C15" i="3"/>
  <c r="D58" i="3"/>
  <c r="C58" i="3"/>
  <c r="B75" i="3"/>
  <c r="B18" i="2"/>
  <c r="B49" i="2" s="1"/>
  <c r="F120" i="15"/>
  <c r="F122" i="15" s="1"/>
  <c r="G10" i="4"/>
  <c r="I36" i="15"/>
  <c r="J139" i="15"/>
  <c r="E72" i="3"/>
  <c r="F8" i="6"/>
  <c r="J68" i="15"/>
  <c r="J67" i="15"/>
  <c r="J70" i="15"/>
  <c r="K68" i="15"/>
  <c r="K67" i="15"/>
  <c r="K70" i="15"/>
  <c r="F68" i="15"/>
  <c r="F69" i="15"/>
  <c r="E26" i="3"/>
  <c r="C26" i="3"/>
  <c r="D26" i="3"/>
  <c r="F26" i="3"/>
  <c r="D50" i="2"/>
  <c r="I50" i="2"/>
  <c r="E7" i="3"/>
  <c r="C7" i="3"/>
  <c r="D7" i="3"/>
  <c r="F7" i="3"/>
  <c r="H14" i="5"/>
  <c r="I14" i="5"/>
  <c r="G30" i="4"/>
  <c r="E90" i="3"/>
  <c r="F6" i="6"/>
  <c r="E6" i="6"/>
  <c r="D90" i="3"/>
  <c r="C90" i="3"/>
  <c r="J137" i="15"/>
  <c r="D6" i="6"/>
  <c r="E47" i="2"/>
  <c r="D47" i="2"/>
  <c r="G47" i="2"/>
  <c r="G6" i="6"/>
  <c r="F90" i="3"/>
  <c r="G50" i="2"/>
  <c r="I47" i="2"/>
  <c r="K47" i="2"/>
  <c r="K49" i="2"/>
  <c r="B20" i="2"/>
  <c r="F136" i="15"/>
  <c r="F138" i="15" s="1"/>
  <c r="B33" i="3" s="1"/>
  <c r="F12" i="3"/>
  <c r="B12" i="3"/>
  <c r="E54" i="3"/>
  <c r="F18" i="6"/>
  <c r="C54" i="3"/>
  <c r="D18" i="6" s="1"/>
  <c r="G44" i="2"/>
  <c r="F71" i="3"/>
  <c r="G19" i="6"/>
  <c r="D71" i="3"/>
  <c r="E19" i="6" s="1"/>
  <c r="B54" i="3"/>
  <c r="C18" i="6"/>
  <c r="D12" i="3"/>
  <c r="F54" i="3"/>
  <c r="G18" i="6"/>
  <c r="C12" i="3"/>
  <c r="E71" i="3"/>
  <c r="F19" i="6" s="1"/>
  <c r="C71" i="3"/>
  <c r="D19" i="6"/>
  <c r="D54" i="3"/>
  <c r="E18" i="6" s="1"/>
  <c r="C6" i="5"/>
  <c r="C8" i="5" s="1"/>
  <c r="B71" i="3"/>
  <c r="C19" i="6" s="1"/>
  <c r="E12" i="3"/>
  <c r="J141" i="15"/>
  <c r="J142" i="15" s="1"/>
  <c r="G30" i="3" s="1"/>
  <c r="G111" i="15"/>
  <c r="G113" i="15" s="1"/>
  <c r="B30" i="3" s="1"/>
  <c r="I6" i="5"/>
  <c r="G11" i="5" l="1"/>
  <c r="J140" i="15"/>
  <c r="G26" i="3" s="1"/>
  <c r="B69" i="15"/>
  <c r="F11" i="5"/>
  <c r="H11" i="5"/>
  <c r="C33" i="3"/>
  <c r="E33" i="3"/>
  <c r="D33" i="3"/>
  <c r="F33" i="3"/>
  <c r="C31" i="3"/>
  <c r="F31" i="3"/>
  <c r="D31" i="3"/>
  <c r="E31" i="3"/>
  <c r="C14" i="6"/>
  <c r="D11" i="5"/>
  <c r="C11" i="5"/>
  <c r="B31" i="3"/>
  <c r="J143" i="15"/>
  <c r="J144" i="15" s="1"/>
  <c r="G31" i="3" s="1"/>
  <c r="G35" i="3" s="1"/>
  <c r="B41" i="3" s="1"/>
  <c r="B97" i="3" s="1"/>
  <c r="G32" i="3"/>
  <c r="J146" i="15"/>
  <c r="B32" i="3"/>
  <c r="C21" i="5"/>
  <c r="C11" i="4"/>
  <c r="C7" i="6"/>
  <c r="C12" i="6" s="1"/>
  <c r="E49" i="2"/>
  <c r="D49" i="2"/>
  <c r="I49" i="2" s="1"/>
  <c r="J49" i="2"/>
  <c r="G112" i="15"/>
  <c r="G114" i="15" s="1"/>
  <c r="E51" i="2"/>
  <c r="B51" i="2"/>
  <c r="D46" i="2"/>
  <c r="I11" i="5" l="1"/>
  <c r="C26" i="2"/>
  <c r="C31" i="2" s="1"/>
  <c r="C30" i="3"/>
  <c r="E30" i="3"/>
  <c r="D30" i="3"/>
  <c r="F30" i="3"/>
  <c r="G49" i="2"/>
  <c r="B29" i="2"/>
  <c r="B31" i="2" s="1"/>
  <c r="B11" i="4"/>
  <c r="D15" i="5" s="1"/>
  <c r="C31" i="4"/>
  <c r="I46" i="2"/>
  <c r="G46" i="2"/>
  <c r="G51" i="2" s="1"/>
  <c r="D51" i="2"/>
  <c r="D7" i="5" l="1"/>
  <c r="D8" i="5" s="1"/>
  <c r="C33" i="2"/>
  <c r="B33" i="2"/>
  <c r="B34" i="2" s="1"/>
  <c r="B36" i="2" s="1"/>
  <c r="B53" i="2"/>
  <c r="B7" i="5"/>
  <c r="F7" i="6"/>
  <c r="F12" i="6" s="1"/>
  <c r="F11" i="4"/>
  <c r="E7" i="6"/>
  <c r="E12" i="6" s="1"/>
  <c r="E11" i="4"/>
  <c r="B31" i="4"/>
  <c r="B34" i="4" s="1"/>
  <c r="C22" i="5" s="1"/>
  <c r="C23" i="5" s="1"/>
  <c r="C15" i="5"/>
  <c r="B9" i="4"/>
  <c r="B15" i="4" s="1"/>
  <c r="D11" i="4"/>
  <c r="D7" i="6"/>
  <c r="D12" i="6" s="1"/>
  <c r="G11" i="4"/>
  <c r="G7" i="6"/>
  <c r="G12" i="6" s="1"/>
  <c r="C18" i="5" l="1"/>
  <c r="F31" i="4"/>
  <c r="G15" i="5"/>
  <c r="D31" i="4"/>
  <c r="E15" i="5"/>
  <c r="C34" i="2"/>
  <c r="C36" i="2" s="1"/>
  <c r="E53" i="2"/>
  <c r="E56" i="2" s="1"/>
  <c r="D53" i="2"/>
  <c r="D56" i="2" s="1"/>
  <c r="B56" i="2"/>
  <c r="G31" i="4"/>
  <c r="H15" i="5"/>
  <c r="B24" i="4"/>
  <c r="B22" i="4"/>
  <c r="B25" i="4" s="1"/>
  <c r="B36" i="4" s="1"/>
  <c r="F15" i="5"/>
  <c r="E31" i="4"/>
  <c r="B8" i="5"/>
  <c r="I7" i="5"/>
  <c r="B5" i="7"/>
  <c r="D21" i="5"/>
  <c r="I15" i="5" l="1"/>
  <c r="B4" i="7"/>
  <c r="I8" i="5"/>
  <c r="B21" i="5"/>
  <c r="I5" i="7"/>
  <c r="C70" i="3"/>
  <c r="C76" i="3" s="1"/>
  <c r="C78" i="3" s="1"/>
  <c r="C112" i="3" s="1"/>
  <c r="C10" i="3"/>
  <c r="B10" i="3"/>
  <c r="C53" i="3"/>
  <c r="C59" i="3" s="1"/>
  <c r="C61" i="3" s="1"/>
  <c r="B53" i="3"/>
  <c r="B59" i="3" s="1"/>
  <c r="B61" i="3" s="1"/>
  <c r="B70" i="3"/>
  <c r="B76" i="3" s="1"/>
  <c r="B78" i="3" s="1"/>
  <c r="F98" i="15"/>
  <c r="F99" i="15" s="1"/>
  <c r="F100" i="15" s="1"/>
  <c r="B28" i="3" s="1"/>
  <c r="D53" i="3"/>
  <c r="D59" i="3" s="1"/>
  <c r="D61" i="3" s="1"/>
  <c r="I7" i="7"/>
  <c r="D10" i="3"/>
  <c r="D70" i="3"/>
  <c r="I6" i="7"/>
  <c r="G98" i="15"/>
  <c r="G99" i="15" s="1"/>
  <c r="G100" i="15" s="1"/>
  <c r="F10" i="3"/>
  <c r="H98" i="15"/>
  <c r="H99" i="15" s="1"/>
  <c r="H100" i="15" s="1"/>
  <c r="I9" i="7"/>
  <c r="F70" i="3"/>
  <c r="E70" i="3"/>
  <c r="F53" i="3"/>
  <c r="F59" i="3" s="1"/>
  <c r="F61" i="3" s="1"/>
  <c r="E53" i="3"/>
  <c r="E59" i="3" s="1"/>
  <c r="E61" i="3" s="1"/>
  <c r="I8" i="7"/>
  <c r="E10" i="3"/>
  <c r="G53" i="2"/>
  <c r="G56" i="2" s="1"/>
  <c r="B9" i="7" s="1"/>
  <c r="B11" i="7" s="1"/>
  <c r="C4" i="7"/>
  <c r="C25" i="5"/>
  <c r="B112" i="3"/>
  <c r="B80" i="3"/>
  <c r="B81" i="3" s="1"/>
  <c r="B135" i="3" s="1"/>
  <c r="D133" i="3"/>
  <c r="D111" i="3"/>
  <c r="D132" i="3"/>
  <c r="C80" i="3"/>
  <c r="B34" i="3" l="1"/>
  <c r="B35" i="3" s="1"/>
  <c r="C17" i="4"/>
  <c r="E16" i="3"/>
  <c r="E92" i="3" s="1"/>
  <c r="E127" i="3"/>
  <c r="E76" i="3"/>
  <c r="E78" i="3" s="1"/>
  <c r="F16" i="3"/>
  <c r="F127" i="3"/>
  <c r="D127" i="3"/>
  <c r="D16" i="3"/>
  <c r="C127" i="3"/>
  <c r="C16" i="3"/>
  <c r="I21" i="5"/>
  <c r="B23" i="5"/>
  <c r="F111" i="3"/>
  <c r="F133" i="3"/>
  <c r="F132" i="3"/>
  <c r="E28" i="3"/>
  <c r="F18" i="4" s="1"/>
  <c r="F28" i="3"/>
  <c r="D76" i="3"/>
  <c r="D78" i="3" s="1"/>
  <c r="C18" i="4"/>
  <c r="B127" i="3"/>
  <c r="B16" i="3"/>
  <c r="B92" i="3" s="1"/>
  <c r="F76" i="3"/>
  <c r="F78" i="3" s="1"/>
  <c r="F80" i="3" s="1"/>
  <c r="F81" i="3" s="1"/>
  <c r="F135" i="3" s="1"/>
  <c r="C28" i="3"/>
  <c r="D28" i="3"/>
  <c r="B133" i="3"/>
  <c r="B111" i="3"/>
  <c r="B132" i="3"/>
  <c r="E111" i="3"/>
  <c r="E133" i="3"/>
  <c r="E132" i="3"/>
  <c r="C133" i="3"/>
  <c r="C132" i="3"/>
  <c r="C111" i="3"/>
  <c r="I11" i="7"/>
  <c r="M18" i="7" s="1"/>
  <c r="C81" i="3"/>
  <c r="C135" i="3" s="1"/>
  <c r="C134" i="3"/>
  <c r="B134" i="3"/>
  <c r="B17" i="3" l="1"/>
  <c r="B19" i="3" s="1"/>
  <c r="B130" i="3" s="1"/>
  <c r="D80" i="3"/>
  <c r="D81" i="3" s="1"/>
  <c r="D135" i="3" s="1"/>
  <c r="E17" i="3"/>
  <c r="F17" i="3"/>
  <c r="C18" i="7"/>
  <c r="B39" i="3"/>
  <c r="C34" i="3"/>
  <c r="C35" i="3" s="1"/>
  <c r="D17" i="4"/>
  <c r="D18" i="4"/>
  <c r="D112" i="3"/>
  <c r="D134" i="3"/>
  <c r="C17" i="3"/>
  <c r="C92" i="3"/>
  <c r="F92" i="3"/>
  <c r="E80" i="3"/>
  <c r="E81" i="3" s="1"/>
  <c r="E135" i="3" s="1"/>
  <c r="C20" i="4"/>
  <c r="G18" i="4"/>
  <c r="F34" i="3"/>
  <c r="F35" i="3" s="1"/>
  <c r="G17" i="4"/>
  <c r="F19" i="3"/>
  <c r="F130" i="3" s="1"/>
  <c r="E112" i="3"/>
  <c r="E20" i="3"/>
  <c r="E131" i="3" s="1"/>
  <c r="E136" i="3" s="1"/>
  <c r="E94" i="3"/>
  <c r="E100" i="3" s="1"/>
  <c r="E39" i="3"/>
  <c r="B42" i="3"/>
  <c r="C12" i="4"/>
  <c r="E18" i="4"/>
  <c r="E17" i="4"/>
  <c r="D34" i="3"/>
  <c r="D35" i="3" s="1"/>
  <c r="B20" i="3"/>
  <c r="B131" i="3" s="1"/>
  <c r="B94" i="3"/>
  <c r="B100" i="3" s="1"/>
  <c r="F112" i="3"/>
  <c r="F134" i="3"/>
  <c r="F17" i="4"/>
  <c r="E34" i="3"/>
  <c r="E35" i="3" s="1"/>
  <c r="D4" i="7"/>
  <c r="G4" i="7" s="1"/>
  <c r="L4" i="7" s="1"/>
  <c r="M4" i="7" s="1"/>
  <c r="B26" i="6"/>
  <c r="B27" i="6" s="1"/>
  <c r="B25" i="5"/>
  <c r="D92" i="3"/>
  <c r="D17" i="3"/>
  <c r="E19" i="3"/>
  <c r="E130" i="3" s="1"/>
  <c r="B166" i="3" l="1"/>
  <c r="B170" i="3"/>
  <c r="B174" i="3"/>
  <c r="B178" i="3"/>
  <c r="B179" i="3"/>
  <c r="B167" i="3"/>
  <c r="B171" i="3"/>
  <c r="B175" i="3"/>
  <c r="B163" i="3"/>
  <c r="D163" i="3" s="1"/>
  <c r="B164" i="3"/>
  <c r="B168" i="3"/>
  <c r="B172" i="3"/>
  <c r="B176" i="3"/>
  <c r="B165" i="3"/>
  <c r="B169" i="3"/>
  <c r="B173" i="3"/>
  <c r="B177" i="3"/>
  <c r="B142" i="3"/>
  <c r="B159" i="3"/>
  <c r="B136" i="3"/>
  <c r="B137" i="3" s="1"/>
  <c r="C146" i="3"/>
  <c r="C150" i="3"/>
  <c r="C154" i="3"/>
  <c r="C158" i="3"/>
  <c r="C147" i="3"/>
  <c r="C151" i="3"/>
  <c r="C155" i="3"/>
  <c r="C143" i="3"/>
  <c r="C144" i="3"/>
  <c r="C148" i="3"/>
  <c r="C152" i="3"/>
  <c r="C156" i="3"/>
  <c r="C145" i="3"/>
  <c r="C149" i="3"/>
  <c r="C153" i="3"/>
  <c r="C157" i="3"/>
  <c r="E134" i="3"/>
  <c r="E137" i="3" s="1"/>
  <c r="B144" i="3"/>
  <c r="D144" i="3" s="1"/>
  <c r="B148" i="3"/>
  <c r="D148" i="3" s="1"/>
  <c r="B152" i="3"/>
  <c r="D152" i="3" s="1"/>
  <c r="B156" i="3"/>
  <c r="D156" i="3" s="1"/>
  <c r="B145" i="3"/>
  <c r="D145" i="3" s="1"/>
  <c r="B149" i="3"/>
  <c r="D149" i="3" s="1"/>
  <c r="B153" i="3"/>
  <c r="D153" i="3" s="1"/>
  <c r="B157" i="3"/>
  <c r="D157" i="3" s="1"/>
  <c r="B146" i="3"/>
  <c r="D146" i="3" s="1"/>
  <c r="B150" i="3"/>
  <c r="D150" i="3" s="1"/>
  <c r="B154" i="3"/>
  <c r="D154" i="3" s="1"/>
  <c r="B158" i="3"/>
  <c r="D158" i="3" s="1"/>
  <c r="B143" i="3"/>
  <c r="D143" i="3" s="1"/>
  <c r="B147" i="3"/>
  <c r="D147" i="3" s="1"/>
  <c r="B151" i="3"/>
  <c r="D151" i="3" s="1"/>
  <c r="B155" i="3"/>
  <c r="D155" i="3" s="1"/>
  <c r="D142" i="3"/>
  <c r="C25" i="6"/>
  <c r="B30" i="6"/>
  <c r="D42" i="3"/>
  <c r="E12" i="4"/>
  <c r="G12" i="4"/>
  <c r="F42" i="3"/>
  <c r="B43" i="3"/>
  <c r="D94" i="3"/>
  <c r="D100" i="3" s="1"/>
  <c r="D39" i="3"/>
  <c r="D20" i="3"/>
  <c r="D131" i="3" s="1"/>
  <c r="D136" i="3" s="1"/>
  <c r="D19" i="3"/>
  <c r="D130" i="3" s="1"/>
  <c r="E20" i="4"/>
  <c r="F12" i="4"/>
  <c r="E42" i="3"/>
  <c r="E43" i="3" s="1"/>
  <c r="C20" i="3"/>
  <c r="C131" i="3" s="1"/>
  <c r="C136" i="3" s="1"/>
  <c r="C19" i="3"/>
  <c r="C130" i="3" s="1"/>
  <c r="C94" i="3"/>
  <c r="C100" i="3" s="1"/>
  <c r="C39" i="3"/>
  <c r="D20" i="4"/>
  <c r="F20" i="4"/>
  <c r="D16" i="5"/>
  <c r="C15" i="6"/>
  <c r="C32" i="4"/>
  <c r="G20" i="4"/>
  <c r="C42" i="3"/>
  <c r="D12" i="4"/>
  <c r="F94" i="3"/>
  <c r="F100" i="3" s="1"/>
  <c r="F20" i="3"/>
  <c r="F131" i="3" s="1"/>
  <c r="F39" i="3"/>
  <c r="F136" i="3" l="1"/>
  <c r="F137" i="3" s="1"/>
  <c r="C165" i="3"/>
  <c r="C166" i="3"/>
  <c r="D166" i="3" s="1"/>
  <c r="C167" i="3"/>
  <c r="C168" i="3"/>
  <c r="C169" i="3"/>
  <c r="C170" i="3"/>
  <c r="D170" i="3" s="1"/>
  <c r="C171" i="3"/>
  <c r="C172" i="3"/>
  <c r="C173" i="3"/>
  <c r="C174" i="3"/>
  <c r="D174" i="3" s="1"/>
  <c r="C175" i="3"/>
  <c r="C176" i="3"/>
  <c r="C177" i="3"/>
  <c r="C178" i="3"/>
  <c r="D178" i="3" s="1"/>
  <c r="C179" i="3"/>
  <c r="D179" i="3" s="1"/>
  <c r="C164" i="3"/>
  <c r="D173" i="3"/>
  <c r="D172" i="3"/>
  <c r="D175" i="3"/>
  <c r="D169" i="3"/>
  <c r="D168" i="3"/>
  <c r="D171" i="3"/>
  <c r="D165" i="3"/>
  <c r="D164" i="3"/>
  <c r="D167" i="3"/>
  <c r="D43" i="3"/>
  <c r="D177" i="3"/>
  <c r="D176" i="3"/>
  <c r="C137" i="3"/>
  <c r="E16" i="5"/>
  <c r="D32" i="4"/>
  <c r="D15" i="6"/>
  <c r="C43" i="3"/>
  <c r="D137" i="3"/>
  <c r="B46" i="3"/>
  <c r="B47" i="3" s="1"/>
  <c r="B44" i="3"/>
  <c r="B102" i="3" s="1"/>
  <c r="D44" i="3"/>
  <c r="D102" i="3" s="1"/>
  <c r="D106" i="3" s="1"/>
  <c r="D46" i="3"/>
  <c r="D47" i="3" s="1"/>
  <c r="F43" i="3"/>
  <c r="E32" i="4"/>
  <c r="F16" i="5"/>
  <c r="E15" i="6"/>
  <c r="E44" i="3"/>
  <c r="E102" i="3" s="1"/>
  <c r="E106" i="3" s="1"/>
  <c r="E46" i="3"/>
  <c r="E47" i="3" s="1"/>
  <c r="F15" i="6"/>
  <c r="F32" i="4"/>
  <c r="G16" i="5"/>
  <c r="G32" i="4"/>
  <c r="G15" i="6"/>
  <c r="H16" i="5"/>
  <c r="E105" i="3" l="1"/>
  <c r="E107" i="3" s="1"/>
  <c r="E109" i="3" s="1"/>
  <c r="E114" i="3" s="1"/>
  <c r="E13" i="4"/>
  <c r="C46" i="3"/>
  <c r="C47" i="3" s="1"/>
  <c r="C44" i="3"/>
  <c r="C102" i="3" s="1"/>
  <c r="C106" i="3" s="1"/>
  <c r="B107" i="3"/>
  <c r="B109" i="3" s="1"/>
  <c r="B114" i="3" s="1"/>
  <c r="B106" i="3"/>
  <c r="F105" i="3"/>
  <c r="F13" i="4"/>
  <c r="F44" i="3"/>
  <c r="F102" i="3" s="1"/>
  <c r="F106" i="3" s="1"/>
  <c r="G13" i="4" s="1"/>
  <c r="F46" i="3"/>
  <c r="F47" i="3" s="1"/>
  <c r="I16" i="5"/>
  <c r="F107" i="3" l="1"/>
  <c r="F109" i="3" s="1"/>
  <c r="F114" i="3" s="1"/>
  <c r="F118" i="3" s="1"/>
  <c r="D105" i="3"/>
  <c r="D107" i="3" s="1"/>
  <c r="D109" i="3" s="1"/>
  <c r="D114" i="3" s="1"/>
  <c r="D13" i="4"/>
  <c r="C13" i="4"/>
  <c r="C105" i="3"/>
  <c r="C107" i="3" s="1"/>
  <c r="C109" i="3" s="1"/>
  <c r="C114" i="3" s="1"/>
  <c r="E33" i="4"/>
  <c r="E34" i="4" s="1"/>
  <c r="F22" i="5" s="1"/>
  <c r="F23" i="5" s="1"/>
  <c r="E9" i="4"/>
  <c r="E15" i="4" s="1"/>
  <c r="E16" i="6"/>
  <c r="E17" i="6" s="1"/>
  <c r="E21" i="6" s="1"/>
  <c r="E23" i="6" s="1"/>
  <c r="F16" i="6"/>
  <c r="F17" i="6" s="1"/>
  <c r="F21" i="6" s="1"/>
  <c r="F23" i="6" s="1"/>
  <c r="F33" i="4"/>
  <c r="F34" i="4" s="1"/>
  <c r="G22" i="5" s="1"/>
  <c r="G23" i="5" s="1"/>
  <c r="F9" i="4"/>
  <c r="F15" i="4" s="1"/>
  <c r="F24" i="4" s="1"/>
  <c r="G17" i="5"/>
  <c r="G16" i="6"/>
  <c r="G17" i="6" s="1"/>
  <c r="G21" i="6" s="1"/>
  <c r="G23" i="6" s="1"/>
  <c r="G33" i="4"/>
  <c r="G34" i="4" s="1"/>
  <c r="H22" i="5" s="1"/>
  <c r="H23" i="5" s="1"/>
  <c r="G9" i="4"/>
  <c r="G15" i="4" s="1"/>
  <c r="G24" i="4" s="1"/>
  <c r="H17" i="5"/>
  <c r="B116" i="3"/>
  <c r="B118" i="3"/>
  <c r="E116" i="3"/>
  <c r="E118" i="3"/>
  <c r="F116" i="3" l="1"/>
  <c r="H5" i="7"/>
  <c r="B119" i="3"/>
  <c r="E5" i="7" s="1"/>
  <c r="D9" i="7"/>
  <c r="G26" i="6"/>
  <c r="F26" i="6"/>
  <c r="D8" i="7"/>
  <c r="D7" i="7"/>
  <c r="E26" i="6"/>
  <c r="D118" i="3"/>
  <c r="D116" i="3"/>
  <c r="C116" i="3"/>
  <c r="C118" i="3"/>
  <c r="D16" i="6"/>
  <c r="D17" i="6" s="1"/>
  <c r="D21" i="6" s="1"/>
  <c r="D23" i="6" s="1"/>
  <c r="D33" i="4"/>
  <c r="D34" i="4" s="1"/>
  <c r="E22" i="5" s="1"/>
  <c r="E23" i="5" s="1"/>
  <c r="F17" i="5"/>
  <c r="D9" i="4"/>
  <c r="D15" i="4" s="1"/>
  <c r="E17" i="5"/>
  <c r="E119" i="3"/>
  <c r="H8" i="7"/>
  <c r="C33" i="4"/>
  <c r="C34" i="4" s="1"/>
  <c r="D22" i="5" s="1"/>
  <c r="D17" i="5"/>
  <c r="C9" i="4"/>
  <c r="C15" i="4" s="1"/>
  <c r="C24" i="4" s="1"/>
  <c r="C16" i="6"/>
  <c r="C17" i="6" s="1"/>
  <c r="C21" i="6" s="1"/>
  <c r="C23" i="6" s="1"/>
  <c r="F119" i="3"/>
  <c r="H9" i="7"/>
  <c r="I17" i="5" l="1"/>
  <c r="D6" i="7"/>
  <c r="D26" i="6"/>
  <c r="D119" i="3"/>
  <c r="D120" i="3" s="1"/>
  <c r="F7" i="7" s="1"/>
  <c r="H7" i="7"/>
  <c r="I22" i="5"/>
  <c r="D23" i="5"/>
  <c r="E24" i="4"/>
  <c r="D24" i="4"/>
  <c r="C119" i="3"/>
  <c r="H6" i="7"/>
  <c r="B120" i="3"/>
  <c r="F5" i="7" s="1"/>
  <c r="E8" i="7"/>
  <c r="E120" i="3"/>
  <c r="F8" i="7" s="1"/>
  <c r="E9" i="7"/>
  <c r="F120" i="3"/>
  <c r="F9" i="7" s="1"/>
  <c r="H11" i="7" l="1"/>
  <c r="F122" i="3"/>
  <c r="B122" i="3"/>
  <c r="B123" i="3" s="1"/>
  <c r="C19" i="4" s="1"/>
  <c r="C120" i="3"/>
  <c r="F6" i="7" s="1"/>
  <c r="F11" i="7" s="1"/>
  <c r="E6" i="7"/>
  <c r="B126" i="3"/>
  <c r="B128" i="3" s="1"/>
  <c r="E7" i="7"/>
  <c r="D122" i="3"/>
  <c r="I23" i="5"/>
  <c r="C26" i="6"/>
  <c r="D5" i="7"/>
  <c r="D11" i="7" s="1"/>
  <c r="E122" i="3"/>
  <c r="C122" i="3" l="1"/>
  <c r="F126" i="3"/>
  <c r="F128" i="3" s="1"/>
  <c r="F123" i="3"/>
  <c r="G19" i="4" s="1"/>
  <c r="G16" i="4" s="1"/>
  <c r="G22" i="4" s="1"/>
  <c r="D12" i="5"/>
  <c r="D18" i="5" s="1"/>
  <c r="C16" i="4"/>
  <c r="C22" i="4" s="1"/>
  <c r="C25" i="4" s="1"/>
  <c r="C36" i="4" s="1"/>
  <c r="E123" i="3"/>
  <c r="F19" i="4" s="1"/>
  <c r="E126" i="3"/>
  <c r="E128" i="3" s="1"/>
  <c r="D123" i="3"/>
  <c r="E19" i="4" s="1"/>
  <c r="E16" i="4" s="1"/>
  <c r="E22" i="4" s="1"/>
  <c r="D126" i="3"/>
  <c r="D128" i="3" s="1"/>
  <c r="E11" i="7"/>
  <c r="C28" i="6"/>
  <c r="J5" i="7" s="1"/>
  <c r="K5" i="7" s="1"/>
  <c r="C27" i="6"/>
  <c r="C123" i="3" l="1"/>
  <c r="D19" i="4" s="1"/>
  <c r="C126" i="3"/>
  <c r="C128" i="3" s="1"/>
  <c r="G12" i="5"/>
  <c r="G18" i="5" s="1"/>
  <c r="F16" i="4"/>
  <c r="F22" i="4" s="1"/>
  <c r="H12" i="5"/>
  <c r="H18" i="5" s="1"/>
  <c r="H25" i="5" s="1"/>
  <c r="C30" i="6"/>
  <c r="D25" i="6"/>
  <c r="D25" i="5"/>
  <c r="C5" i="7"/>
  <c r="G5" i="7" s="1"/>
  <c r="L5" i="7" s="1"/>
  <c r="D16" i="4" l="1"/>
  <c r="D22" i="4" s="1"/>
  <c r="E12" i="5"/>
  <c r="F12" i="5"/>
  <c r="F18" i="5" s="1"/>
  <c r="F25" i="4"/>
  <c r="F36" i="4" s="1"/>
  <c r="G25" i="4"/>
  <c r="G36" i="4" s="1"/>
  <c r="D27" i="6"/>
  <c r="D28" i="6"/>
  <c r="J6" i="7" s="1"/>
  <c r="K6" i="7" s="1"/>
  <c r="C8" i="7"/>
  <c r="G8" i="7" s="1"/>
  <c r="G25" i="5"/>
  <c r="M5" i="7"/>
  <c r="F25" i="5" l="1"/>
  <c r="C7" i="7"/>
  <c r="G7" i="7" s="1"/>
  <c r="E18" i="5"/>
  <c r="I12" i="5"/>
  <c r="D25" i="4"/>
  <c r="D36" i="4" s="1"/>
  <c r="E25" i="4"/>
  <c r="E36" i="4" s="1"/>
  <c r="E25" i="6"/>
  <c r="D30" i="6"/>
  <c r="I18" i="5" l="1"/>
  <c r="C9" i="7" s="1"/>
  <c r="G9" i="7" s="1"/>
  <c r="E25" i="5"/>
  <c r="I25" i="5" s="1"/>
  <c r="C6" i="7"/>
  <c r="E28" i="6"/>
  <c r="J7" i="7" s="1"/>
  <c r="K7" i="7" s="1"/>
  <c r="L7" i="7" s="1"/>
  <c r="E27" i="6"/>
  <c r="G6" i="7" l="1"/>
  <c r="C11" i="7"/>
  <c r="M20" i="7" s="1"/>
  <c r="F25" i="6"/>
  <c r="E30" i="6"/>
  <c r="L6" i="7" l="1"/>
  <c r="M6" i="7" s="1"/>
  <c r="M7" i="7" s="1"/>
  <c r="G11" i="7"/>
  <c r="F28" i="6"/>
  <c r="J8" i="7" s="1"/>
  <c r="K8" i="7" s="1"/>
  <c r="L8" i="7" s="1"/>
  <c r="M8" i="7" s="1"/>
  <c r="F27" i="6"/>
  <c r="G25" i="6" l="1"/>
  <c r="F30" i="6"/>
  <c r="G27" i="6" l="1"/>
  <c r="G28" i="6"/>
  <c r="J9" i="7" s="1"/>
  <c r="J11" i="7" l="1"/>
  <c r="M19" i="7" s="1"/>
  <c r="K9" i="7"/>
  <c r="G30" i="6"/>
  <c r="L9" i="7" l="1"/>
  <c r="K11" i="7"/>
  <c r="L11" i="7" s="1"/>
  <c r="D13" i="7" l="1"/>
  <c r="M9" i="7"/>
  <c r="M21" i="7" s="1"/>
  <c r="D15" i="7"/>
</calcChain>
</file>

<file path=xl/sharedStrings.xml><?xml version="1.0" encoding="utf-8"?>
<sst xmlns="http://schemas.openxmlformats.org/spreadsheetml/2006/main" count="867" uniqueCount="565">
  <si>
    <t>ESTA PLANILLA PUEDE SER UTILIZADA SOLAMENTE PARA EL TRABAJO PRACTICO:</t>
  </si>
  <si>
    <t>Reglas y consideraciones a tener en cuenta antes de entregar para corregir</t>
  </si>
  <si>
    <t>Tasa porcentual de IVA</t>
  </si>
  <si>
    <r>
      <rPr>
        <sz val="10"/>
        <color indexed="9"/>
        <rFont val="Arial"/>
        <family val="2"/>
      </rPr>
      <t xml:space="preserve">1. TODAS las celdas que tomen datos de otra parte del archivo deben estar referenciadas con una </t>
    </r>
    <r>
      <rPr>
        <b/>
        <sz val="10"/>
        <color indexed="9"/>
        <rFont val="Arial"/>
        <family val="2"/>
      </rPr>
      <t>FÓRMULA</t>
    </r>
    <r>
      <rPr>
        <sz val="10"/>
        <color indexed="9"/>
        <rFont val="Arial"/>
        <family val="2"/>
      </rPr>
      <t>. No se corregirán TPs con datos escritos como valores (esto vale incluso para la tasa de HD, IG e IVA). Tampoco se aceptarán fórmulas que hagan referencia a otros archivos.</t>
    </r>
  </si>
  <si>
    <t>Tasa porcentual de Impuesto a las Ganancias</t>
  </si>
  <si>
    <t>Honorarios al Directorio</t>
  </si>
  <si>
    <t>Variable sobre Utilidad económica antes de HD e IG</t>
  </si>
  <si>
    <t>Tiempo de Amortización Activos Fijos:</t>
  </si>
  <si>
    <t>Se considera una depreciación lineal y un valor residual nulo</t>
  </si>
  <si>
    <r>
      <rPr>
        <b/>
        <sz val="10"/>
        <color indexed="9"/>
        <rFont val="Arial"/>
        <family val="2"/>
        <charset val="1"/>
      </rPr>
      <t>2. TODOS</t>
    </r>
    <r>
      <rPr>
        <sz val="10"/>
        <color indexed="9"/>
        <rFont val="Arial"/>
        <family val="2"/>
        <charset val="1"/>
      </rPr>
      <t xml:space="preserve"> los valores que se ingresen al archivo por primera vez deben tener su respectiva referencia o </t>
    </r>
    <r>
      <rPr>
        <b/>
        <sz val="10"/>
        <color indexed="9"/>
        <rFont val="Arial"/>
        <family val="2"/>
        <charset val="1"/>
      </rPr>
      <t>FUENTE</t>
    </r>
    <r>
      <rPr>
        <sz val="10"/>
        <color indexed="9"/>
        <rFont val="Arial"/>
        <family val="2"/>
        <charset val="1"/>
      </rPr>
      <t xml:space="preserve"> (ej. cálculos auxiliares en otra hoja, links, etc.)</t>
    </r>
  </si>
  <si>
    <t xml:space="preserve">    edificios y obras complementarias</t>
  </si>
  <si>
    <t>años</t>
  </si>
  <si>
    <t xml:space="preserve">    instalaciones industriales</t>
  </si>
  <si>
    <r>
      <rPr>
        <b/>
        <sz val="10"/>
        <color indexed="9"/>
        <rFont val="Arial"/>
        <family val="2"/>
        <charset val="1"/>
      </rPr>
      <t>3.</t>
    </r>
    <r>
      <rPr>
        <sz val="10"/>
        <color indexed="9"/>
        <rFont val="Arial"/>
        <family val="2"/>
        <charset val="1"/>
      </rPr>
      <t xml:space="preserve"> Los datos utilizados tienen que tener concordancia con los dimensionamientos anteriores.</t>
    </r>
  </si>
  <si>
    <t xml:space="preserve">    máquinas, equipos y accesorios</t>
  </si>
  <si>
    <r>
      <rPr>
        <b/>
        <sz val="10"/>
        <color indexed="9"/>
        <rFont val="Arial"/>
        <family val="2"/>
      </rPr>
      <t>4.</t>
    </r>
    <r>
      <rPr>
        <sz val="10"/>
        <color indexed="9"/>
        <rFont val="Arial"/>
        <family val="2"/>
      </rPr>
      <t xml:space="preserve"> El SET "A" de verificaciones en la hoja “E-Form” debe estar OK antes de entregar una primer versión para corregir.</t>
    </r>
  </si>
  <si>
    <t xml:space="preserve">    rodados y equipos auxiliares</t>
  </si>
  <si>
    <t xml:space="preserve">    muebles y útiles</t>
  </si>
  <si>
    <r>
      <rPr>
        <b/>
        <sz val="10"/>
        <color indexed="9"/>
        <rFont val="Arial"/>
        <family val="2"/>
      </rPr>
      <t xml:space="preserve">5. </t>
    </r>
    <r>
      <rPr>
        <sz val="10"/>
        <color indexed="9"/>
        <rFont val="Arial"/>
        <family val="2"/>
      </rPr>
      <t>El SET "A", “B” y “C” de verificaciones en la hoja “F-Form” debe estar OK antes de la entrega final</t>
    </r>
  </si>
  <si>
    <t xml:space="preserve">    repuestos iniciales</t>
  </si>
  <si>
    <t>Otros Activos y Cargos Diferidos</t>
  </si>
  <si>
    <t>Imprevistos</t>
  </si>
  <si>
    <t>Nombre del Producto</t>
  </si>
  <si>
    <t>Ventas Anuales Promedio</t>
  </si>
  <si>
    <t>en Unidades</t>
  </si>
  <si>
    <t>Precio Promedio</t>
  </si>
  <si>
    <t>en $</t>
  </si>
  <si>
    <t xml:space="preserve">Cantidad de personal total </t>
  </si>
  <si>
    <t>en Producción</t>
  </si>
  <si>
    <t>personas</t>
  </si>
  <si>
    <t>en Comercialización</t>
  </si>
  <si>
    <t>en Administración</t>
  </si>
  <si>
    <t>Tamaño de la planta en metros cuadrados</t>
  </si>
  <si>
    <t>m2</t>
  </si>
  <si>
    <t>Periodo de Instalación</t>
  </si>
  <si>
    <t>en meses</t>
  </si>
  <si>
    <t>Período de Puesta en Marcha</t>
  </si>
  <si>
    <t>Tasa de Cambio</t>
  </si>
  <si>
    <t>$ por cada</t>
  </si>
  <si>
    <t>U$S</t>
  </si>
  <si>
    <t>Tasa de Credito Bancario</t>
  </si>
  <si>
    <t>anual</t>
  </si>
  <si>
    <t>Año 6</t>
  </si>
  <si>
    <t>Rubro a financiar</t>
  </si>
  <si>
    <t>% sobre el total del Rubro</t>
  </si>
  <si>
    <t>Dias de Financiación de Proveedores</t>
  </si>
  <si>
    <t>% sobre Compras</t>
  </si>
  <si>
    <t>Tasa de financiación</t>
  </si>
  <si>
    <t>Libertadores2018</t>
  </si>
  <si>
    <t>ESTA PLANILLA PUEDE SER UTILIZADA SOLAMENTE PARA EL TRABAJO PRACTICO</t>
  </si>
  <si>
    <t>Inversión Inicial en Activo Fijo</t>
  </si>
  <si>
    <t>Gasto interno (en $)</t>
  </si>
  <si>
    <t>Gasto Externo (en $)</t>
  </si>
  <si>
    <t>Año 0</t>
  </si>
  <si>
    <t>Año 1</t>
  </si>
  <si>
    <t>a) Bienes de Uso</t>
  </si>
  <si>
    <t>Terreno y sus mejoras</t>
  </si>
  <si>
    <t>Edificio y obras complementarias</t>
  </si>
  <si>
    <t>Instalaciones industriales</t>
  </si>
  <si>
    <t>Máquinas operativas</t>
  </si>
  <si>
    <t xml:space="preserve">    importadas, valor FOB, con repuestos</t>
  </si>
  <si>
    <t xml:space="preserve">    nacionales, precio en fábrica del proveedor</t>
  </si>
  <si>
    <t>Gastos conexos a la importación de maquinaria</t>
  </si>
  <si>
    <t>Transporte y montaje de la maquinaria</t>
  </si>
  <si>
    <t>Rodados y equipos auxiliares</t>
  </si>
  <si>
    <t>Muebles y útiles</t>
  </si>
  <si>
    <t>Infraestructura en predio propio</t>
  </si>
  <si>
    <t>Total Bienes de uso</t>
  </si>
  <si>
    <t>b) Gastos asimilables o cargos diferidos</t>
  </si>
  <si>
    <t>Investigaciones y estudios</t>
  </si>
  <si>
    <t>Constitución y organización de la empresa</t>
  </si>
  <si>
    <t>Gastos de Admin. e Ing. En en período de Instalación</t>
  </si>
  <si>
    <t>Gastos de puesta en marcha (AL AÑO 1)</t>
  </si>
  <si>
    <t>Patentes y Licencias</t>
  </si>
  <si>
    <t>Infraestructura en predio ajeno</t>
  </si>
  <si>
    <t>Total gastos asimilables o cargos diferidos</t>
  </si>
  <si>
    <t>c) Total Inversiones iniciales Activo Fijo, sin IVA</t>
  </si>
  <si>
    <t xml:space="preserve">d) IVA </t>
  </si>
  <si>
    <t>e) TOTAL INVERSIONES INICIALES ACTIVO FIJO</t>
  </si>
  <si>
    <t>Rubro</t>
  </si>
  <si>
    <t>Inversión</t>
  </si>
  <si>
    <t>Coeficiente</t>
  </si>
  <si>
    <t>Alícuotas de amortización</t>
  </si>
  <si>
    <t>Valor residual</t>
  </si>
  <si>
    <t>original</t>
  </si>
  <si>
    <t>Años 1/3</t>
  </si>
  <si>
    <t>Años 4/5</t>
  </si>
  <si>
    <t>Bienes de Uso</t>
  </si>
  <si>
    <t>Repuestos</t>
  </si>
  <si>
    <t>Subtotal</t>
  </si>
  <si>
    <t xml:space="preserve">Cargos Diferidos </t>
  </si>
  <si>
    <t>Totales, s/IVA</t>
  </si>
  <si>
    <t>COSTO TOTAL DE PRODUCCION</t>
  </si>
  <si>
    <t>Gastos en el Area de Producción</t>
  </si>
  <si>
    <t>Rubros</t>
  </si>
  <si>
    <t>Año 2</t>
  </si>
  <si>
    <t>Año 3</t>
  </si>
  <si>
    <t>Año 4</t>
  </si>
  <si>
    <t>Año 5</t>
  </si>
  <si>
    <t>Materia prima</t>
  </si>
  <si>
    <t>Mano de obra directa</t>
  </si>
  <si>
    <t>Gastos de fabricación:</t>
  </si>
  <si>
    <t>Amortizaciones</t>
  </si>
  <si>
    <t>Personal indirecto</t>
  </si>
  <si>
    <t>Materiales</t>
  </si>
  <si>
    <t>Energía eléctrica</t>
  </si>
  <si>
    <t>Combustibles</t>
  </si>
  <si>
    <t>Tasas e impuestos</t>
  </si>
  <si>
    <t>Gastos Total de Producción</t>
  </si>
  <si>
    <t>% Gasto Constante</t>
  </si>
  <si>
    <t>% Gasto Variable</t>
  </si>
  <si>
    <t>Gastos a activar</t>
  </si>
  <si>
    <t>Mercadería en Curso y Semielaborada</t>
  </si>
  <si>
    <t>Puesta en marcha</t>
  </si>
  <si>
    <t xml:space="preserve">  Energía eléctrica</t>
  </si>
  <si>
    <t xml:space="preserve">  Combustibles</t>
  </si>
  <si>
    <t xml:space="preserve">  Tasas e impuestos</t>
  </si>
  <si>
    <t xml:space="preserve">  Imprevistos</t>
  </si>
  <si>
    <t>Total gastos a activar</t>
  </si>
  <si>
    <t>Costo en el Area de Producción</t>
  </si>
  <si>
    <t>Menos:</t>
  </si>
  <si>
    <t>Gasto de puesta en marcha</t>
  </si>
  <si>
    <t>Variación Mercadería en proceso</t>
  </si>
  <si>
    <t>Costo de producción anual</t>
  </si>
  <si>
    <t>Costo de prod. Unitario Promedio</t>
  </si>
  <si>
    <t>Gastos en el Area de Administración</t>
  </si>
  <si>
    <t>Personal</t>
  </si>
  <si>
    <t>Amortizaciones de A. Fijo</t>
  </si>
  <si>
    <t>Electricidad</t>
  </si>
  <si>
    <t>Combustible</t>
  </si>
  <si>
    <t>Varios</t>
  </si>
  <si>
    <t>Costo total de Admistración</t>
  </si>
  <si>
    <t>Gastos en el Area de Comercialización</t>
  </si>
  <si>
    <t>Energía Eléctrica</t>
  </si>
  <si>
    <t>Costo total de Comercialización</t>
  </si>
  <si>
    <t>COSTO TOTAL Y RESULTADO A NIVEL ECONOMICO</t>
  </si>
  <si>
    <t>Venta anual, en Unidades Producto 1</t>
  </si>
  <si>
    <t>Precio de venta Producto 1</t>
  </si>
  <si>
    <t>VENTAS ANUALES</t>
  </si>
  <si>
    <t xml:space="preserve">Consumo de materia prima </t>
  </si>
  <si>
    <t>Gastos de fabricación</t>
  </si>
  <si>
    <t>Gastos de Producción</t>
  </si>
  <si>
    <t>COSTO DE PRODUCCION ANUAL</t>
  </si>
  <si>
    <t>Producción anual en Unidades</t>
  </si>
  <si>
    <t>Costo de producción unitario Promedio</t>
  </si>
  <si>
    <t>Variación de Stock de Elaborado</t>
  </si>
  <si>
    <t>COSTO DE PRODUCCION DE LO VENDIDO</t>
  </si>
  <si>
    <t>GASTO DE ADMINISTRACION</t>
  </si>
  <si>
    <t xml:space="preserve">GASTO DE COMERCIALIZACION </t>
  </si>
  <si>
    <t>COSTO ANUAL DE LO VENDIDO</t>
  </si>
  <si>
    <t>Costo total unitario promedio</t>
  </si>
  <si>
    <t>UTILIDAD ECONOMICA (a/H. D. e Impuesto)</t>
  </si>
  <si>
    <t xml:space="preserve">Impuesto a la ganancia </t>
  </si>
  <si>
    <t>UTILIDAD ECONOMICA (d/H.D. e Impuesto)</t>
  </si>
  <si>
    <t>% sobre VENTAS</t>
  </si>
  <si>
    <t>FONDOS AUTOGENERADOS</t>
  </si>
  <si>
    <t>Utilidad Económica (d/H.D. e Impuesto)</t>
  </si>
  <si>
    <t>Amortización anual</t>
  </si>
  <si>
    <t>Total</t>
  </si>
  <si>
    <t>Costo Constante Sector de Producción</t>
  </si>
  <si>
    <t>Costo Variable Sector de Producción</t>
  </si>
  <si>
    <t>Costo Constante Sector de Administración</t>
  </si>
  <si>
    <t>Costo Variable Sector de Administración</t>
  </si>
  <si>
    <t>Costo Constante Sector de Comercialización</t>
  </si>
  <si>
    <t>Costo Variable Sector de Comercialización</t>
  </si>
  <si>
    <t>UTILIDAD MARGINAL</t>
  </si>
  <si>
    <t>PUNTO DE EQUILIBRIO</t>
  </si>
  <si>
    <t>HACER DIAGRAMA DE PUNTO DE EQUILIBRIO PARA EL AÑO 1 Y PARA EL AÑO 5</t>
  </si>
  <si>
    <t>INVERSIONES EN ACTIVO DE TRABAJO</t>
  </si>
  <si>
    <r>
      <rPr>
        <b/>
        <sz val="10"/>
        <rFont val="Arial"/>
        <family val="2"/>
      </rPr>
      <t xml:space="preserve">1. Activo de Trabajo: </t>
    </r>
    <r>
      <rPr>
        <sz val="10"/>
        <rFont val="Arial"/>
        <family val="2"/>
      </rPr>
      <t>(valor contable)</t>
    </r>
  </si>
  <si>
    <t xml:space="preserve">   a) Disponibilidad Mínima en Caja y Bancos:</t>
  </si>
  <si>
    <t xml:space="preserve">   b) Crédito por Ventas</t>
  </si>
  <si>
    <t xml:space="preserve">   c) Bienes de cambio:</t>
  </si>
  <si>
    <t xml:space="preserve">    Stock de materias prima:</t>
  </si>
  <si>
    <t xml:space="preserve">   Stock de materiales:</t>
  </si>
  <si>
    <t xml:space="preserve">   Mercadería en curso y semielaborada</t>
  </si>
  <si>
    <t xml:space="preserve">   Stock de elaborados</t>
  </si>
  <si>
    <t xml:space="preserve">   d) Total Activo de Trabajo, sin IVA:</t>
  </si>
  <si>
    <t>2. Menos:</t>
  </si>
  <si>
    <t xml:space="preserve">    Amortizaciones en Mercadería en proceso</t>
  </si>
  <si>
    <t xml:space="preserve">    Amortizaciones en Stock de elaborado</t>
  </si>
  <si>
    <t xml:space="preserve">    Utilidades en Crédito por ventas</t>
  </si>
  <si>
    <t xml:space="preserve">    Amortizaciones en Crédito por ventas</t>
  </si>
  <si>
    <t>3. Inversiones en Activo de Trabajo, sin IVA</t>
  </si>
  <si>
    <t>4. Incrementos de Activo de Trabajo</t>
  </si>
  <si>
    <t xml:space="preserve">    Incrementos de Inversión en Activo de Trabajo</t>
  </si>
  <si>
    <t>5. Incrementos IVA sobre Inversiones</t>
  </si>
  <si>
    <t xml:space="preserve">    Crédito por Ventas                             </t>
  </si>
  <si>
    <t xml:space="preserve">    Bienes de cambio:</t>
  </si>
  <si>
    <t xml:space="preserve">               Stock de materia prima</t>
  </si>
  <si>
    <t xml:space="preserve">               Stock de materiales</t>
  </si>
  <si>
    <t xml:space="preserve">               Mercadería en proceso</t>
  </si>
  <si>
    <t xml:space="preserve">               Stock de elaborados</t>
  </si>
  <si>
    <t xml:space="preserve">   Total incrementos IVA sobre inversiones</t>
  </si>
  <si>
    <t>6. Incrementos Inversiones en Activo de Trabajo</t>
  </si>
  <si>
    <t>Calendario de Inversiones</t>
  </si>
  <si>
    <t>Año 0: Preinversion</t>
  </si>
  <si>
    <t>Año 0: Instalación</t>
  </si>
  <si>
    <t>Totales</t>
  </si>
  <si>
    <t>Inversiones en Activo Fijo</t>
  </si>
  <si>
    <t xml:space="preserve">    Bienes de uso</t>
  </si>
  <si>
    <t xml:space="preserve">    Asimilables</t>
  </si>
  <si>
    <t xml:space="preserve">    Subtotal Activo Fijo</t>
  </si>
  <si>
    <t>Inversiones en A. de Trabajo</t>
  </si>
  <si>
    <t xml:space="preserve">   Disp. mínimas C y B</t>
  </si>
  <si>
    <t xml:space="preserve">   Crédito por ventas</t>
  </si>
  <si>
    <t xml:space="preserve">   Bienes de cambio:</t>
  </si>
  <si>
    <t xml:space="preserve">     Stock de Materia Prima</t>
  </si>
  <si>
    <t xml:space="preserve">     Stock de Materiales</t>
  </si>
  <si>
    <t xml:space="preserve">     Mercadería en proceso</t>
  </si>
  <si>
    <t xml:space="preserve">     Stock de Elaborados</t>
  </si>
  <si>
    <t xml:space="preserve">    Subtotal Activo Trabajo</t>
  </si>
  <si>
    <t>IVA:</t>
  </si>
  <si>
    <t xml:space="preserve">    por inversión A. Fijo</t>
  </si>
  <si>
    <t xml:space="preserve">    por inversión A. T.</t>
  </si>
  <si>
    <t xml:space="preserve">   Subtotal IVA Inversión</t>
  </si>
  <si>
    <t>Inversiones Totales</t>
  </si>
  <si>
    <t>IVA plan de Explotación, Cancelación del Credito Fiscal y pago al Fisco por IVA</t>
  </si>
  <si>
    <t>TOTALES PARA LAS TRES AREAS</t>
  </si>
  <si>
    <t>Rubros que abonan IVA</t>
  </si>
  <si>
    <t>Materia Prima</t>
  </si>
  <si>
    <t>Seguros</t>
  </si>
  <si>
    <t>Menos: Puesta en marcha</t>
  </si>
  <si>
    <t xml:space="preserve">   (s/mano de obra directa)</t>
  </si>
  <si>
    <t>Merc. en proceso</t>
  </si>
  <si>
    <t>Stock elaborados</t>
  </si>
  <si>
    <t>Total Area Producción</t>
  </si>
  <si>
    <t>Total Area Administración</t>
  </si>
  <si>
    <t>Total Area Comercialización</t>
  </si>
  <si>
    <t>IVA total abonado por insumos</t>
  </si>
  <si>
    <t>IVA total cobrado por ventas</t>
  </si>
  <si>
    <t>a) IVA diferencia</t>
  </si>
  <si>
    <t>b) Crédito Fiscal Anterior</t>
  </si>
  <si>
    <t>c) Crédito Fiscal del Año</t>
  </si>
  <si>
    <t>d) Crédito Fiscal Final Año</t>
  </si>
  <si>
    <t>e) Recuepro de Credito Fiscal</t>
  </si>
  <si>
    <t xml:space="preserve">    Pago al Fisco por IVA</t>
  </si>
  <si>
    <t>Formulación del Proyecto a Nivel Económico</t>
  </si>
  <si>
    <t>Año</t>
  </si>
  <si>
    <t>Inversión en Activo Fijo</t>
  </si>
  <si>
    <t>Inversión en Activo de Trabajo</t>
  </si>
  <si>
    <t>Credito Fiscal</t>
  </si>
  <si>
    <t>Impuesto a las Ganancias</t>
  </si>
  <si>
    <t>Total Egresos</t>
  </si>
  <si>
    <t>Utilidad Economica Antes  HD e IG</t>
  </si>
  <si>
    <t>Cobro Credito Fiscal</t>
  </si>
  <si>
    <t>Total Ingresos</t>
  </si>
  <si>
    <t>Saldo Anual</t>
  </si>
  <si>
    <t>Saldo Acumulado</t>
  </si>
  <si>
    <t>Suma.</t>
  </si>
  <si>
    <t>Beneficio Neto</t>
  </si>
  <si>
    <t>Periodo de Recupero de la Inversión</t>
  </si>
  <si>
    <t>en años</t>
  </si>
  <si>
    <t>TIR</t>
  </si>
  <si>
    <t>Verificaciones</t>
  </si>
  <si>
    <t>Set A</t>
  </si>
  <si>
    <t>IVA</t>
  </si>
  <si>
    <t>AT</t>
  </si>
  <si>
    <t>BN Proyecto</t>
  </si>
  <si>
    <t>PRIMERA ESTRUCTURA FINANCIERA</t>
  </si>
  <si>
    <t>Total Inversión</t>
  </si>
  <si>
    <t>CréditoS</t>
  </si>
  <si>
    <t>Capital Propio</t>
  </si>
  <si>
    <t>monto</t>
  </si>
  <si>
    <t>%</t>
  </si>
  <si>
    <t xml:space="preserve">Activo Fijo </t>
  </si>
  <si>
    <t xml:space="preserve">Activo de Trabajo </t>
  </si>
  <si>
    <t xml:space="preserve">IVA </t>
  </si>
  <si>
    <t>CUADRO RESUMEN DE CREDITOS</t>
  </si>
  <si>
    <t>día/mes/año</t>
  </si>
  <si>
    <t>deuda</t>
  </si>
  <si>
    <t>amortización</t>
  </si>
  <si>
    <t>interés</t>
  </si>
  <si>
    <t xml:space="preserve">deuda </t>
  </si>
  <si>
    <t>gasto</t>
  </si>
  <si>
    <t>semestral</t>
  </si>
  <si>
    <t>prom. anual</t>
  </si>
  <si>
    <t>kd</t>
  </si>
  <si>
    <t>bancario</t>
  </si>
  <si>
    <t>gastos preoperativos:</t>
  </si>
  <si>
    <t>Totales:</t>
  </si>
  <si>
    <t>CUADRO DE RESULTADOS PROFORMA</t>
  </si>
  <si>
    <t>Ventas netas</t>
  </si>
  <si>
    <t>(-) Costo de producción de lo Vendido</t>
  </si>
  <si>
    <t>Resultado operativo</t>
  </si>
  <si>
    <t>Gastos de Administración</t>
  </si>
  <si>
    <t>Gastos de Comercialización</t>
  </si>
  <si>
    <t>Gastos Financieros</t>
  </si>
  <si>
    <t>RESULTADO (a/Hon. e Imp.)</t>
  </si>
  <si>
    <t>Menos: Honorarios al Direct.</t>
  </si>
  <si>
    <t>Menos: Impuesto a la Ganancia</t>
  </si>
  <si>
    <t>RESULTADO (d/Hon. e Imp.)</t>
  </si>
  <si>
    <t>SEGUNDA ESTRUCTURA FINANCIERA</t>
  </si>
  <si>
    <t>a) Inversión y calendario de activo fijo: incrementos</t>
  </si>
  <si>
    <t>Bienes de uso</t>
  </si>
  <si>
    <t>Cargos diferidos:</t>
  </si>
  <si>
    <t>Totales de activo fijo, sin IVA</t>
  </si>
  <si>
    <t xml:space="preserve">IVA   </t>
  </si>
  <si>
    <t>Totales de activo fijo, con IVA</t>
  </si>
  <si>
    <t>b) Inversión y calendario de activo de trabajo: incrementos</t>
  </si>
  <si>
    <t>Disponibilidad mínima</t>
  </si>
  <si>
    <t>Crédito por ventas (valor contable)</t>
  </si>
  <si>
    <t>Bienes de cambio (valor contable)</t>
  </si>
  <si>
    <t>Totales activo de trabajo, sin IVA</t>
  </si>
  <si>
    <t>Amortizaciones en inventarios</t>
  </si>
  <si>
    <t>Amortizaciones en crédito</t>
  </si>
  <si>
    <t>Utilidades en crédito</t>
  </si>
  <si>
    <t>Inversión activo de trabajo, s/IVA</t>
  </si>
  <si>
    <t>Totales activo de trabajo (v. contable), c/IVA</t>
  </si>
  <si>
    <t>Inversión activo de trabajo, con IVA</t>
  </si>
  <si>
    <t>c) Inversión y calendario totales: incrementos</t>
  </si>
  <si>
    <t>Activo fijo, con IVA</t>
  </si>
  <si>
    <t>Inversión activo de trabajo, c/IVA</t>
  </si>
  <si>
    <t>Inversiones Totales, con IVA</t>
  </si>
  <si>
    <t>d) Financiación global (segunda y definitiva):</t>
  </si>
  <si>
    <t>Porcentaje</t>
  </si>
  <si>
    <t>Crédito renovable</t>
  </si>
  <si>
    <t>Crédito no renovable</t>
  </si>
  <si>
    <t>Capital propio</t>
  </si>
  <si>
    <t>PUNTO DE EQUILIBRIO ECONOMICO FINANCIERO</t>
  </si>
  <si>
    <t>Gasto Financiero</t>
  </si>
  <si>
    <t>HACER DIAGRAMA DE PUNTO DE EQUILIBRIO PARA EL AÑO 1 Y PARA EL AÑO 10</t>
  </si>
  <si>
    <t>a) IVA pagado en el Costo Total de lo Vendido:</t>
  </si>
  <si>
    <t xml:space="preserve">   Total pagado en el Area de Producción</t>
  </si>
  <si>
    <t xml:space="preserve">  Total pagado en el Area Administrativa</t>
  </si>
  <si>
    <t xml:space="preserve">  Total pagado en el Area Comercial </t>
  </si>
  <si>
    <t xml:space="preserve">  Total pagado por Financiación</t>
  </si>
  <si>
    <t xml:space="preserve">  IVA abonado en Costo Total de lo Vendido:</t>
  </si>
  <si>
    <t>b) IVA diferencia</t>
  </si>
  <si>
    <t>c) Crédito Fiscal Anterior (incrementado)</t>
  </si>
  <si>
    <t>d) Crédito Fiscal del Año (incrementado)</t>
  </si>
  <si>
    <t>e) Crédito Fiscal Final Año</t>
  </si>
  <si>
    <t>f) Recupero Credito Fiscal</t>
  </si>
  <si>
    <t>CUADRO DE FUENTES Y USOS</t>
  </si>
  <si>
    <t>FUENTES: Totales</t>
  </si>
  <si>
    <t>Saldo ejercicio anterior</t>
  </si>
  <si>
    <t>Aporte de capital propio</t>
  </si>
  <si>
    <t xml:space="preserve">Créditos renovables </t>
  </si>
  <si>
    <t xml:space="preserve">Créditos no renovables </t>
  </si>
  <si>
    <t xml:space="preserve">Ventas del ejercicio </t>
  </si>
  <si>
    <t>Recupero Crédito Fiscal</t>
  </si>
  <si>
    <t>USOS: Totales</t>
  </si>
  <si>
    <t>Activo Fijo</t>
  </si>
  <si>
    <t>Costo de lo Vendido</t>
  </si>
  <si>
    <t>Impuesto a la Ganancia</t>
  </si>
  <si>
    <t>Cancelación de deudas</t>
  </si>
  <si>
    <t xml:space="preserve">Honorarios del Directorio </t>
  </si>
  <si>
    <t>Dividendos en efectivo</t>
  </si>
  <si>
    <t xml:space="preserve">IVA inversión </t>
  </si>
  <si>
    <t>Otros egresos</t>
  </si>
  <si>
    <t>FUENTES - USOS</t>
  </si>
  <si>
    <t xml:space="preserve">Más: Amortizaciones del ejercicio </t>
  </si>
  <si>
    <t>Saldo al ejercicio siguiente (acumulado)</t>
  </si>
  <si>
    <t>Saldo Propio del Ejercicio</t>
  </si>
  <si>
    <t>BALANCES PROFORMAS</t>
  </si>
  <si>
    <t>ACTIVO CORRIENTE: Total</t>
  </si>
  <si>
    <t xml:space="preserve">Caja y Bancos: </t>
  </si>
  <si>
    <t xml:space="preserve">   - mínimo </t>
  </si>
  <si>
    <t xml:space="preserve">   - saldo acumulado de Fuentes y Usos </t>
  </si>
  <si>
    <t>Crédito por ventas</t>
  </si>
  <si>
    <t>Bienes de cambio</t>
  </si>
  <si>
    <t>Crédito Fiscal</t>
  </si>
  <si>
    <t>ACTIVO NO CORRIENTE: Total</t>
  </si>
  <si>
    <t>Cargos Diferidos:</t>
  </si>
  <si>
    <t xml:space="preserve">   - valor inicial </t>
  </si>
  <si>
    <t xml:space="preserve">     más inversiones del ejercicio </t>
  </si>
  <si>
    <t xml:space="preserve">     menos amortizaciones del ejerc.</t>
  </si>
  <si>
    <t xml:space="preserve">   - valor final del ejercicio</t>
  </si>
  <si>
    <t xml:space="preserve">     más inversiones del ejercicio</t>
  </si>
  <si>
    <t xml:space="preserve">     menos amortizaciones del ejerc</t>
  </si>
  <si>
    <t xml:space="preserve">Crédito Fiscal </t>
  </si>
  <si>
    <t>ACTIVO TOTAL:</t>
  </si>
  <si>
    <t>PASIVO CORRIENTE: Total</t>
  </si>
  <si>
    <t>Deudas comerciales</t>
  </si>
  <si>
    <t>Deudas bancarias</t>
  </si>
  <si>
    <t>PASIVO NO CORRIENTE: Total</t>
  </si>
  <si>
    <t>PASIVO TOTAL:</t>
  </si>
  <si>
    <t>PATRIMONIO NETO:</t>
  </si>
  <si>
    <t>Capital societario</t>
  </si>
  <si>
    <t>Utilidad del ejercicio</t>
  </si>
  <si>
    <t>Utilidad acumulada</t>
  </si>
  <si>
    <t>PASIVO + PATRIMONIO NETO</t>
  </si>
  <si>
    <t>Verificación</t>
  </si>
  <si>
    <t>Formulación del Proyecto a Nivel Financiero</t>
  </si>
  <si>
    <t>Activo de Trabajo</t>
  </si>
  <si>
    <t>Utilidad  Antes  HD e IG</t>
  </si>
  <si>
    <t>Intereses Pagados</t>
  </si>
  <si>
    <t>TIR modificada</t>
  </si>
  <si>
    <t>Formulación para el Inversor</t>
  </si>
  <si>
    <t>Aporte de Capital</t>
  </si>
  <si>
    <t>Saldo propio de Fuentes y Usos</t>
  </si>
  <si>
    <t>Set B</t>
  </si>
  <si>
    <t>BN Inversor 1</t>
  </si>
  <si>
    <t>BN Inversor 2</t>
  </si>
  <si>
    <t>BN Inversor 3</t>
  </si>
  <si>
    <t>BN Inversor 4</t>
  </si>
  <si>
    <t>para el inversor</t>
  </si>
  <si>
    <t>BN Inversor 5</t>
  </si>
  <si>
    <t>en años para el inversor</t>
  </si>
  <si>
    <t>Set C</t>
  </si>
  <si>
    <t>TOR</t>
  </si>
  <si>
    <t>Balance</t>
  </si>
  <si>
    <t>Ecubiertos</t>
  </si>
  <si>
    <t>20x30</t>
  </si>
  <si>
    <t>Mezcladora</t>
  </si>
  <si>
    <t>Prensa</t>
  </si>
  <si>
    <t>Horno</t>
  </si>
  <si>
    <t>Envolvedoras</t>
  </si>
  <si>
    <t>Cantidad</t>
  </si>
  <si>
    <t>Máquina</t>
  </si>
  <si>
    <t>Precio</t>
  </si>
  <si>
    <t>Valor</t>
  </si>
  <si>
    <t>Valor total</t>
  </si>
  <si>
    <t>Galpón Parque Suarez</t>
  </si>
  <si>
    <t>Valor U$D</t>
  </si>
  <si>
    <t>Valor $</t>
  </si>
  <si>
    <t>Rodados y equipos</t>
  </si>
  <si>
    <t>Camioneta</t>
  </si>
  <si>
    <t>Materias primas</t>
  </si>
  <si>
    <t>Harina de trigo</t>
  </si>
  <si>
    <t>Harina de sorgo</t>
  </si>
  <si>
    <t>Harina de arroz</t>
  </si>
  <si>
    <t>Sal</t>
  </si>
  <si>
    <t>Menta</t>
  </si>
  <si>
    <t>Jengibre</t>
  </si>
  <si>
    <t xml:space="preserve">Ajo </t>
  </si>
  <si>
    <t>Pimienta</t>
  </si>
  <si>
    <t>Unidad</t>
  </si>
  <si>
    <t>$/kg</t>
  </si>
  <si>
    <t>kg</t>
  </si>
  <si>
    <t>Cantidad unitaria</t>
  </si>
  <si>
    <t>Cernidora</t>
  </si>
  <si>
    <t>Escritorios</t>
  </si>
  <si>
    <t>Computadoras</t>
  </si>
  <si>
    <t>Sillas</t>
  </si>
  <si>
    <t>Bandejas</t>
  </si>
  <si>
    <t>Operario</t>
  </si>
  <si>
    <t>Comercial</t>
  </si>
  <si>
    <t>Administrativo</t>
  </si>
  <si>
    <t>Autoelevador</t>
  </si>
  <si>
    <t>Estanterías</t>
  </si>
  <si>
    <t>Maquina</t>
  </si>
  <si>
    <t>cernidor</t>
  </si>
  <si>
    <t>kwh</t>
  </si>
  <si>
    <t>gas</t>
  </si>
  <si>
    <t>m3 h</t>
  </si>
  <si>
    <t>electricidad</t>
  </si>
  <si>
    <t>Consumos</t>
  </si>
  <si>
    <t>$/kwh</t>
  </si>
  <si>
    <t>Sueldo</t>
  </si>
  <si>
    <t>% producción</t>
  </si>
  <si>
    <t>% administración</t>
  </si>
  <si>
    <t>% comercial</t>
  </si>
  <si>
    <t>Gas</t>
  </si>
  <si>
    <t>Produccion</t>
  </si>
  <si>
    <t>Año 2 a n</t>
  </si>
  <si>
    <t>Columna1</t>
  </si>
  <si>
    <t>SUELDOS</t>
  </si>
  <si>
    <t>Total2</t>
  </si>
  <si>
    <t>TOTAL</t>
  </si>
  <si>
    <t>Columna2</t>
  </si>
  <si>
    <t>BIENES DE USO</t>
  </si>
  <si>
    <t>VENTAS</t>
  </si>
  <si>
    <t>Stock promedio de MP</t>
  </si>
  <si>
    <t>Año 1 a 5</t>
  </si>
  <si>
    <t>Stock promedio de PT</t>
  </si>
  <si>
    <t xml:space="preserve"> Cantidad</t>
  </si>
  <si>
    <t xml:space="preserve">Año 1 a 5 </t>
  </si>
  <si>
    <t>Desperdicio real operativo</t>
  </si>
  <si>
    <t>COEFICIENTES</t>
  </si>
  <si>
    <t>VALORES DE COEFICIENTES</t>
  </si>
  <si>
    <t>BALANCE ANUAL DEL MATERIAL</t>
  </si>
  <si>
    <t>DNR</t>
  </si>
  <si>
    <t>Producciones seccionales</t>
  </si>
  <si>
    <t>Secciones</t>
  </si>
  <si>
    <t>MC Y SE</t>
  </si>
  <si>
    <t>CANTIDAD</t>
  </si>
  <si>
    <t>PRODUCTO ELABORADO</t>
  </si>
  <si>
    <t>UNIDAD</t>
  </si>
  <si>
    <t>Kg</t>
  </si>
  <si>
    <t>Gasto específico</t>
  </si>
  <si>
    <t>MOD</t>
  </si>
  <si>
    <t>MOD=</t>
  </si>
  <si>
    <t>Costo de MOD en MC y Se=</t>
  </si>
  <si>
    <t>CONSUMO MP</t>
  </si>
  <si>
    <t>AÑO 1</t>
  </si>
  <si>
    <t>AÑO 2 A 5</t>
  </si>
  <si>
    <t>Año 2 a 3</t>
  </si>
  <si>
    <t>Año 4 a 5</t>
  </si>
  <si>
    <t>Importe imputable a MCySE</t>
  </si>
  <si>
    <t xml:space="preserve">Gasto especifico </t>
  </si>
  <si>
    <t>Amortización</t>
  </si>
  <si>
    <t>MOI=</t>
  </si>
  <si>
    <t>AÑO1</t>
  </si>
  <si>
    <t xml:space="preserve">AÑO 2 A 5 </t>
  </si>
  <si>
    <t>COSTO MOI en MC y SE=</t>
  </si>
  <si>
    <t xml:space="preserve">Año 2 a 5 </t>
  </si>
  <si>
    <t>Año1</t>
  </si>
  <si>
    <t xml:space="preserve"> </t>
  </si>
  <si>
    <t>Parte inicial costos MOD</t>
  </si>
  <si>
    <t>MOI</t>
  </si>
  <si>
    <t>AMORTIZACIÓN</t>
  </si>
  <si>
    <t xml:space="preserve">MATERIALES </t>
  </si>
  <si>
    <t>MATERIALES AÑO 1=</t>
  </si>
  <si>
    <t>MATERIALES AÑO 2 A 5 =</t>
  </si>
  <si>
    <t>COSTO MAT. AÑO 1=</t>
  </si>
  <si>
    <t>COST MAT AÑO 2=</t>
  </si>
  <si>
    <t>DESCRIPCIÓN</t>
  </si>
  <si>
    <t>REFERENCIA</t>
  </si>
  <si>
    <t>VALOR</t>
  </si>
  <si>
    <t>ENERGÍA ELÉCTRICA</t>
  </si>
  <si>
    <t>COSTO EE AÑO 1=</t>
  </si>
  <si>
    <t>COSTO EE AÑO 2=</t>
  </si>
  <si>
    <t>Gasto específico Materiales año1 =</t>
  </si>
  <si>
    <t>VALORES</t>
  </si>
  <si>
    <t>Gasto específico materiales año 2=</t>
  </si>
  <si>
    <t>COMBUSTIBLE (GAS)</t>
  </si>
  <si>
    <t>Gasto específico combustible año1 =</t>
  </si>
  <si>
    <t>Gasto específico combustible año 2=</t>
  </si>
  <si>
    <t>COSTO GAS AÑO 1=</t>
  </si>
  <si>
    <t>COSTO GAS AÑO 2=</t>
  </si>
  <si>
    <t>TASAS E IMPUESTOS</t>
  </si>
  <si>
    <t>Stock promedio MP</t>
  </si>
  <si>
    <t>Año 1 a n</t>
  </si>
  <si>
    <t>Stock elaborado al inicio del periodo</t>
  </si>
  <si>
    <t>Stock elaborado al final periodo</t>
  </si>
  <si>
    <t>Stock PT</t>
  </si>
  <si>
    <t>Consumo tot MP</t>
  </si>
  <si>
    <t>Consumo especifico</t>
  </si>
  <si>
    <t>Consumo MP por PT</t>
  </si>
  <si>
    <t>Consumo M por MC y SE</t>
  </si>
  <si>
    <t>[peso cuchara]=Kg</t>
  </si>
  <si>
    <t>año 1</t>
  </si>
  <si>
    <t>año 2 a 5</t>
  </si>
  <si>
    <t>Año 2 a 5</t>
  </si>
  <si>
    <t xml:space="preserve">GASTOS DE PUESTA EN MARCHA </t>
  </si>
  <si>
    <t>Exceso consumo x PM</t>
  </si>
  <si>
    <t>Gasto específico MP Año 1</t>
  </si>
  <si>
    <t>Gasto específico MP Año 2 a 5</t>
  </si>
  <si>
    <t>Consumo excedente MP</t>
  </si>
  <si>
    <t>Gasto específico MOD Año 1</t>
  </si>
  <si>
    <t>Exceso Gasto MOD</t>
  </si>
  <si>
    <t>Gasto especifico Materiales</t>
  </si>
  <si>
    <t>Exceso Gasto Materiales</t>
  </si>
  <si>
    <t>Gasto especifico Energía</t>
  </si>
  <si>
    <t>Exceso Gasto Energía</t>
  </si>
  <si>
    <t>Gasto especifico Combustibles</t>
  </si>
  <si>
    <t>Exceso Gasto Combustibles</t>
  </si>
  <si>
    <t>Gasto específico tasas e impuestos año 2=</t>
  </si>
  <si>
    <t>Gasto específico tasas e impuesto año1 =</t>
  </si>
  <si>
    <t>Kilogramos de mp producción//Ventas</t>
  </si>
  <si>
    <t>Comercialización</t>
  </si>
  <si>
    <t>Ingresos Brutos Año 1 (3%)</t>
  </si>
  <si>
    <t>Ingresos Brutos Año 2 a 5 (3%)</t>
  </si>
  <si>
    <t>Producción</t>
  </si>
  <si>
    <t xml:space="preserve">Tasa municipal anual </t>
  </si>
  <si>
    <t>Impuesto inmobiliario anual</t>
  </si>
  <si>
    <t>Administración</t>
  </si>
  <si>
    <t>Imp. A los Deb y Cred Bancarios</t>
  </si>
  <si>
    <t>Costo Fijo</t>
  </si>
  <si>
    <t>Costo Variable</t>
  </si>
  <si>
    <t>Costo Total</t>
  </si>
  <si>
    <t>Ventas</t>
  </si>
  <si>
    <t>Punto de equilibrio</t>
  </si>
  <si>
    <t>unidades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</si>
</sst>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 * #,##0.00_ ;_ * \-#,##0.00_ ;_ * &quot;-&quot;??_ ;_ @_ "/>
    <numFmt numFmtId="165" formatCode="0.00\ %"/>
    <numFmt numFmtId="166" formatCode="_(\$* #,##0.00_);_(\$* \(#,##0.00\);_(\$* \-??_);_(@_)"/>
    <numFmt numFmtId="167" formatCode="0.0"/>
    <numFmt numFmtId="168" formatCode="0.000"/>
    <numFmt numFmtId="169" formatCode="_(* #,##0.00_);_(* \(#,##0.00\);_(* \-??_);_(@_)"/>
    <numFmt numFmtId="170" formatCode="d&quot; de &quot;mmm&quot; de &quot;yy"/>
    <numFmt numFmtId="171" formatCode="&quot;$&quot;#,##0"/>
    <numFmt numFmtId="172" formatCode="&quot;$&quot;#,##0.00"/>
    <numFmt numFmtId="173" formatCode="0.0%"/>
    <numFmt numFmtId="174" formatCode="_(\$* #,##0_);_(\$* \(#,##0\);_(\$* \-??_);_(@_)"/>
    <numFmt numFmtId="175" formatCode="_(\$* #,##0.000_);_(\$* \(#,##0.000\);_(\$* \-??_);_(@_)"/>
    <numFmt numFmtId="176" formatCode="_ &quot;$&quot;\ * #,##0_ ;_ &quot;$&quot;\ * \-#,##0_ ;_ &quot;$&quot;\ * &quot;-&quot;??_ ;_ @_ "/>
    <numFmt numFmtId="177" formatCode="_(* #,##0_);_(* \(#,##0\);_(* \-??_);_(@_)"/>
  </numFmts>
  <fonts count="27" x14ac:knownFonts="1">
    <font>
      <sz val="10"/>
      <name val="Arial"/>
      <family val="2"/>
    </font>
    <font>
      <sz val="10"/>
      <name val="Arial"/>
    </font>
    <font>
      <sz val="10"/>
      <color indexed="9"/>
      <name val="Arial"/>
      <family val="2"/>
    </font>
    <font>
      <b/>
      <sz val="10"/>
      <color indexed="8"/>
      <name val="Arial"/>
      <family val="2"/>
    </font>
    <font>
      <sz val="10"/>
      <color indexed="16"/>
      <name val="Arial"/>
      <family val="2"/>
    </font>
    <font>
      <b/>
      <sz val="10"/>
      <color indexed="9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sz val="18"/>
      <color indexed="8"/>
      <name val="Arial"/>
      <family val="2"/>
    </font>
    <font>
      <sz val="12"/>
      <color indexed="8"/>
      <name val="Arial"/>
      <family val="2"/>
    </font>
    <font>
      <b/>
      <sz val="24"/>
      <color indexed="8"/>
      <name val="Arial"/>
      <family val="2"/>
    </font>
    <font>
      <sz val="10"/>
      <color indexed="19"/>
      <name val="Arial"/>
      <family val="2"/>
    </font>
    <font>
      <sz val="10"/>
      <color indexed="63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b/>
      <sz val="11"/>
      <color indexed="9"/>
      <name val="Arial"/>
      <family val="2"/>
      <charset val="1"/>
    </font>
    <font>
      <b/>
      <sz val="10"/>
      <color indexed="9"/>
      <name val="Arial"/>
      <family val="2"/>
      <charset val="1"/>
    </font>
    <font>
      <sz val="10"/>
      <color indexed="9"/>
      <name val="Arial"/>
      <family val="2"/>
      <charset val="1"/>
    </font>
    <font>
      <b/>
      <sz val="12"/>
      <name val="Arial"/>
      <family val="2"/>
    </font>
    <font>
      <sz val="12"/>
      <name val="Symbol"/>
      <family val="1"/>
      <charset val="2"/>
    </font>
    <font>
      <sz val="10"/>
      <name val="Arial"/>
      <family val="2"/>
    </font>
    <font>
      <sz val="11"/>
      <color rgb="FF252525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sz val="13"/>
      <name val="Arial"/>
      <family val="2"/>
    </font>
    <font>
      <b/>
      <sz val="11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indexed="8"/>
        <bgColor indexed="5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47"/>
      </patternFill>
    </fill>
    <fill>
      <patternFill patternType="solid">
        <fgColor indexed="47"/>
        <bgColor indexed="31"/>
      </patternFill>
    </fill>
    <fill>
      <patternFill patternType="solid">
        <fgColor indexed="16"/>
        <bgColor indexed="10"/>
      </patternFill>
    </fill>
    <fill>
      <patternFill patternType="solid">
        <fgColor indexed="42"/>
        <bgColor indexed="27"/>
      </patternFill>
    </fill>
    <fill>
      <patternFill patternType="solid">
        <fgColor indexed="26"/>
        <bgColor indexed="9"/>
      </patternFill>
    </fill>
    <fill>
      <patternFill patternType="solid">
        <fgColor indexed="57"/>
        <bgColor indexed="23"/>
      </patternFill>
    </fill>
    <fill>
      <patternFill patternType="solid">
        <fgColor indexed="10"/>
        <bgColor indexed="16"/>
      </patternFill>
    </fill>
    <fill>
      <patternFill patternType="solid">
        <fgColor indexed="22"/>
        <bgColor indexed="31"/>
      </patternFill>
    </fill>
    <fill>
      <patternFill patternType="solid">
        <fgColor indexed="53"/>
        <bgColor indexed="1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9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/>
      <right/>
      <top style="thin">
        <color indexed="59"/>
      </top>
      <bottom style="thin">
        <color indexed="59"/>
      </bottom>
      <diagonal/>
    </border>
    <border>
      <left/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  <border>
      <left style="double">
        <color indexed="59"/>
      </left>
      <right style="thin">
        <color indexed="59"/>
      </right>
      <top style="double">
        <color indexed="59"/>
      </top>
      <bottom style="hair">
        <color indexed="59"/>
      </bottom>
      <diagonal/>
    </border>
    <border>
      <left style="thin">
        <color indexed="59"/>
      </left>
      <right style="thin">
        <color indexed="59"/>
      </right>
      <top style="double">
        <color indexed="59"/>
      </top>
      <bottom style="hair">
        <color indexed="59"/>
      </bottom>
      <diagonal/>
    </border>
    <border>
      <left style="thin">
        <color indexed="59"/>
      </left>
      <right style="double">
        <color indexed="59"/>
      </right>
      <top style="double">
        <color indexed="59"/>
      </top>
      <bottom style="hair">
        <color indexed="59"/>
      </bottom>
      <diagonal/>
    </border>
    <border>
      <left style="double">
        <color indexed="59"/>
      </left>
      <right style="thin">
        <color indexed="59"/>
      </right>
      <top style="hair">
        <color indexed="59"/>
      </top>
      <bottom style="double">
        <color indexed="59"/>
      </bottom>
      <diagonal/>
    </border>
    <border>
      <left style="thin">
        <color indexed="59"/>
      </left>
      <right style="thin">
        <color indexed="59"/>
      </right>
      <top style="hair">
        <color indexed="59"/>
      </top>
      <bottom style="double">
        <color indexed="59"/>
      </bottom>
      <diagonal/>
    </border>
    <border>
      <left style="thin">
        <color indexed="59"/>
      </left>
      <right style="double">
        <color indexed="59"/>
      </right>
      <top style="hair">
        <color indexed="59"/>
      </top>
      <bottom style="double">
        <color indexed="59"/>
      </bottom>
      <diagonal/>
    </border>
    <border>
      <left style="double">
        <color indexed="59"/>
      </left>
      <right style="thin">
        <color indexed="59"/>
      </right>
      <top/>
      <bottom style="hair">
        <color indexed="59"/>
      </bottom>
      <diagonal/>
    </border>
    <border>
      <left style="thin">
        <color indexed="59"/>
      </left>
      <right style="thin">
        <color indexed="59"/>
      </right>
      <top/>
      <bottom style="hair">
        <color indexed="59"/>
      </bottom>
      <diagonal/>
    </border>
    <border>
      <left style="double">
        <color indexed="59"/>
      </left>
      <right style="thin">
        <color indexed="59"/>
      </right>
      <top style="hair">
        <color indexed="59"/>
      </top>
      <bottom style="hair">
        <color indexed="59"/>
      </bottom>
      <diagonal/>
    </border>
    <border>
      <left style="thin">
        <color indexed="59"/>
      </left>
      <right style="thin">
        <color indexed="59"/>
      </right>
      <top style="hair">
        <color indexed="59"/>
      </top>
      <bottom style="hair">
        <color indexed="59"/>
      </bottom>
      <diagonal/>
    </border>
    <border>
      <left style="thin">
        <color indexed="59"/>
      </left>
      <right style="double">
        <color indexed="59"/>
      </right>
      <top/>
      <bottom style="hair">
        <color indexed="59"/>
      </bottom>
      <diagonal/>
    </border>
    <border>
      <left style="thin">
        <color indexed="59"/>
      </left>
      <right style="double">
        <color indexed="59"/>
      </right>
      <top style="hair">
        <color indexed="59"/>
      </top>
      <bottom style="hair">
        <color indexed="59"/>
      </bottom>
      <diagonal/>
    </border>
    <border>
      <left style="double">
        <color indexed="59"/>
      </left>
      <right/>
      <top style="double">
        <color indexed="59"/>
      </top>
      <bottom style="hair">
        <color indexed="59"/>
      </bottom>
      <diagonal/>
    </border>
    <border>
      <left/>
      <right/>
      <top style="double">
        <color indexed="59"/>
      </top>
      <bottom style="hair">
        <color indexed="59"/>
      </bottom>
      <diagonal/>
    </border>
    <border>
      <left/>
      <right style="double">
        <color indexed="59"/>
      </right>
      <top style="double">
        <color indexed="59"/>
      </top>
      <bottom style="hair">
        <color indexed="59"/>
      </bottom>
      <diagonal/>
    </border>
    <border>
      <left style="double">
        <color indexed="59"/>
      </left>
      <right style="thin">
        <color indexed="59"/>
      </right>
      <top style="hair">
        <color indexed="59"/>
      </top>
      <bottom/>
      <diagonal/>
    </border>
    <border>
      <left style="thin">
        <color indexed="59"/>
      </left>
      <right style="thin">
        <color indexed="59"/>
      </right>
      <top style="hair">
        <color indexed="59"/>
      </top>
      <bottom/>
      <diagonal/>
    </border>
    <border>
      <left style="thin">
        <color indexed="59"/>
      </left>
      <right style="double">
        <color indexed="59"/>
      </right>
      <top style="hair">
        <color indexed="59"/>
      </top>
      <bottom/>
      <diagonal/>
    </border>
    <border>
      <left/>
      <right/>
      <top style="hair">
        <color indexed="59"/>
      </top>
      <bottom style="hair">
        <color indexed="59"/>
      </bottom>
      <diagonal/>
    </border>
    <border>
      <left/>
      <right/>
      <top style="hair">
        <color indexed="59"/>
      </top>
      <bottom style="double">
        <color indexed="59"/>
      </bottom>
      <diagonal/>
    </border>
    <border>
      <left style="thin">
        <color indexed="59"/>
      </left>
      <right/>
      <top style="hair">
        <color indexed="59"/>
      </top>
      <bottom style="double">
        <color indexed="59"/>
      </bottom>
      <diagonal/>
    </border>
    <border>
      <left style="thin">
        <color indexed="59"/>
      </left>
      <right/>
      <top/>
      <bottom style="hair">
        <color indexed="59"/>
      </bottom>
      <diagonal/>
    </border>
    <border>
      <left style="thin">
        <color indexed="59"/>
      </left>
      <right/>
      <top style="hair">
        <color indexed="59"/>
      </top>
      <bottom style="hair">
        <color indexed="59"/>
      </bottom>
      <diagonal/>
    </border>
    <border>
      <left style="double">
        <color indexed="59"/>
      </left>
      <right/>
      <top/>
      <bottom style="hair">
        <color indexed="59"/>
      </bottom>
      <diagonal/>
    </border>
    <border>
      <left/>
      <right style="double">
        <color indexed="59"/>
      </right>
      <top style="hair">
        <color indexed="59"/>
      </top>
      <bottom style="hair">
        <color indexed="59"/>
      </bottom>
      <diagonal/>
    </border>
    <border>
      <left style="double">
        <color indexed="59"/>
      </left>
      <right style="double">
        <color indexed="59"/>
      </right>
      <top style="double">
        <color indexed="59"/>
      </top>
      <bottom style="hair">
        <color indexed="59"/>
      </bottom>
      <diagonal/>
    </border>
    <border>
      <left/>
      <right style="thin">
        <color indexed="59"/>
      </right>
      <top/>
      <bottom style="hair">
        <color indexed="59"/>
      </bottom>
      <diagonal/>
    </border>
    <border>
      <left style="double">
        <color indexed="59"/>
      </left>
      <right style="double">
        <color indexed="59"/>
      </right>
      <top style="hair">
        <color indexed="59"/>
      </top>
      <bottom style="hair">
        <color indexed="59"/>
      </bottom>
      <diagonal/>
    </border>
    <border>
      <left/>
      <right style="thin">
        <color indexed="59"/>
      </right>
      <top style="hair">
        <color indexed="59"/>
      </top>
      <bottom style="hair">
        <color indexed="59"/>
      </bottom>
      <diagonal/>
    </border>
    <border>
      <left style="double">
        <color indexed="59"/>
      </left>
      <right style="double">
        <color indexed="59"/>
      </right>
      <top style="hair">
        <color indexed="59"/>
      </top>
      <bottom style="double">
        <color indexed="59"/>
      </bottom>
      <diagonal/>
    </border>
    <border>
      <left/>
      <right style="thin">
        <color indexed="59"/>
      </right>
      <top style="hair">
        <color indexed="59"/>
      </top>
      <bottom style="double">
        <color indexed="59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double">
        <color indexed="59"/>
      </left>
      <right style="thin">
        <color indexed="59"/>
      </right>
      <top style="double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double">
        <color indexed="59"/>
      </top>
      <bottom style="thin">
        <color indexed="59"/>
      </bottom>
      <diagonal/>
    </border>
    <border>
      <left style="thin">
        <color indexed="59"/>
      </left>
      <right style="double">
        <color indexed="59"/>
      </right>
      <top style="double">
        <color indexed="59"/>
      </top>
      <bottom style="thin">
        <color indexed="59"/>
      </bottom>
      <diagonal/>
    </border>
    <border>
      <left style="double">
        <color indexed="59"/>
      </left>
      <right style="thin">
        <color indexed="59"/>
      </right>
      <top/>
      <bottom/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59"/>
      </left>
      <right style="double">
        <color indexed="59"/>
      </right>
      <top/>
      <bottom/>
      <diagonal/>
    </border>
    <border>
      <left style="double">
        <color indexed="59"/>
      </left>
      <right style="thin">
        <color indexed="59"/>
      </right>
      <top/>
      <bottom style="double">
        <color indexed="59"/>
      </bottom>
      <diagonal/>
    </border>
    <border>
      <left style="thin">
        <color indexed="59"/>
      </left>
      <right style="thin">
        <color indexed="59"/>
      </right>
      <top/>
      <bottom style="double">
        <color indexed="59"/>
      </bottom>
      <diagonal/>
    </border>
    <border>
      <left style="thin">
        <color indexed="59"/>
      </left>
      <right style="double">
        <color indexed="59"/>
      </right>
      <top/>
      <bottom style="double">
        <color indexed="59"/>
      </bottom>
      <diagonal/>
    </border>
    <border>
      <left style="double">
        <color indexed="59"/>
      </left>
      <right/>
      <top/>
      <bottom style="double">
        <color indexed="59"/>
      </bottom>
      <diagonal/>
    </border>
    <border>
      <left style="thin">
        <color indexed="59"/>
      </left>
      <right/>
      <top style="double">
        <color indexed="59"/>
      </top>
      <bottom style="hair">
        <color indexed="5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2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0" borderId="0" applyNumberFormat="0" applyFill="0" applyBorder="0" applyAlignment="0" applyProtection="0"/>
    <xf numFmtId="0" fontId="4" fillId="5" borderId="0" applyNumberFormat="0" applyBorder="0" applyAlignment="0" applyProtection="0"/>
    <xf numFmtId="0" fontId="5" fillId="6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7" borderId="0" applyNumberFormat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169" fontId="20" fillId="0" borderId="0" applyFill="0" applyBorder="0" applyAlignment="0" applyProtection="0"/>
    <xf numFmtId="166" fontId="20" fillId="0" borderId="0" applyFill="0" applyBorder="0" applyAlignment="0" applyProtection="0"/>
    <xf numFmtId="0" fontId="11" fillId="8" borderId="0" applyNumberFormat="0" applyBorder="0" applyAlignment="0" applyProtection="0"/>
    <xf numFmtId="0" fontId="12" fillId="8" borderId="1" applyNumberFormat="0" applyAlignment="0" applyProtection="0"/>
    <xf numFmtId="9" fontId="20" fillId="0" borderId="0" applyFill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435">
    <xf numFmtId="0" fontId="0" fillId="0" borderId="0" xfId="0"/>
    <xf numFmtId="0" fontId="13" fillId="0" borderId="0" xfId="0" applyFont="1"/>
    <xf numFmtId="0" fontId="14" fillId="0" borderId="2" xfId="0" applyFont="1" applyBorder="1"/>
    <xf numFmtId="0" fontId="14" fillId="0" borderId="0" xfId="0" applyFont="1" applyAlignment="1">
      <alignment horizontal="right"/>
    </xf>
    <xf numFmtId="9" fontId="14" fillId="7" borderId="2" xfId="16" applyFont="1" applyFill="1" applyBorder="1" applyAlignment="1" applyProtection="1"/>
    <xf numFmtId="0" fontId="0" fillId="0" borderId="0" xfId="0" applyFont="1" applyAlignment="1">
      <alignment horizontal="right"/>
    </xf>
    <xf numFmtId="0" fontId="14" fillId="7" borderId="2" xfId="0" applyFont="1" applyFill="1" applyBorder="1" applyAlignment="1">
      <alignment horizontal="center"/>
    </xf>
    <xf numFmtId="165" fontId="14" fillId="7" borderId="2" xfId="0" applyNumberFormat="1" applyFont="1" applyFill="1" applyBorder="1" applyAlignment="1">
      <alignment horizontal="center"/>
    </xf>
    <xf numFmtId="0" fontId="0" fillId="11" borderId="3" xfId="0" applyFill="1" applyBorder="1" applyProtection="1">
      <protection locked="0"/>
    </xf>
    <xf numFmtId="0" fontId="0" fillId="11" borderId="4" xfId="0" applyFill="1" applyBorder="1"/>
    <xf numFmtId="0" fontId="0" fillId="11" borderId="5" xfId="0" applyFill="1" applyBorder="1"/>
    <xf numFmtId="0" fontId="0" fillId="11" borderId="2" xfId="0" applyFill="1" applyBorder="1" applyProtection="1">
      <protection locked="0"/>
    </xf>
    <xf numFmtId="0" fontId="14" fillId="0" borderId="0" xfId="0" applyFont="1"/>
    <xf numFmtId="0" fontId="0" fillId="11" borderId="6" xfId="0" applyFill="1" applyBorder="1" applyProtection="1">
      <protection locked="0"/>
    </xf>
    <xf numFmtId="0" fontId="2" fillId="0" borderId="0" xfId="0" applyFont="1"/>
    <xf numFmtId="0" fontId="0" fillId="11" borderId="7" xfId="0" applyFill="1" applyBorder="1" applyProtection="1">
      <protection locked="0"/>
    </xf>
    <xf numFmtId="0" fontId="0" fillId="0" borderId="0" xfId="0" applyFill="1"/>
    <xf numFmtId="0" fontId="18" fillId="0" borderId="8" xfId="0" applyFont="1" applyFill="1" applyBorder="1"/>
    <xf numFmtId="0" fontId="14" fillId="0" borderId="9" xfId="0" applyFont="1" applyFill="1" applyBorder="1" applyAlignment="1">
      <alignment horizontal="center"/>
    </xf>
    <xf numFmtId="0" fontId="14" fillId="0" borderId="10" xfId="0" applyFont="1" applyFill="1" applyBorder="1" applyAlignment="1">
      <alignment horizontal="center"/>
    </xf>
    <xf numFmtId="0" fontId="18" fillId="0" borderId="11" xfId="0" applyFont="1" applyFill="1" applyBorder="1"/>
    <xf numFmtId="0" fontId="14" fillId="0" borderId="12" xfId="0" applyFont="1" applyFill="1" applyBorder="1" applyAlignment="1">
      <alignment horizontal="center"/>
    </xf>
    <xf numFmtId="0" fontId="14" fillId="0" borderId="13" xfId="0" applyFont="1" applyFill="1" applyBorder="1" applyAlignment="1">
      <alignment horizontal="center"/>
    </xf>
    <xf numFmtId="0" fontId="0" fillId="0" borderId="14" xfId="0" applyFill="1" applyBorder="1"/>
    <xf numFmtId="0" fontId="0" fillId="0" borderId="15" xfId="0" applyFill="1" applyBorder="1"/>
    <xf numFmtId="0" fontId="14" fillId="0" borderId="16" xfId="0" applyFont="1" applyFill="1" applyBorder="1"/>
    <xf numFmtId="0" fontId="0" fillId="0" borderId="17" xfId="0" applyFill="1" applyBorder="1"/>
    <xf numFmtId="0" fontId="0" fillId="0" borderId="16" xfId="0" applyFont="1" applyFill="1" applyBorder="1"/>
    <xf numFmtId="166" fontId="0" fillId="0" borderId="17" xfId="13" applyFont="1" applyFill="1" applyBorder="1" applyAlignment="1" applyProtection="1">
      <protection locked="0"/>
    </xf>
    <xf numFmtId="0" fontId="0" fillId="0" borderId="16" xfId="0" applyFont="1" applyFill="1" applyBorder="1" applyAlignment="1">
      <alignment horizontal="left"/>
    </xf>
    <xf numFmtId="166" fontId="0" fillId="0" borderId="17" xfId="13" applyFont="1" applyFill="1" applyBorder="1" applyAlignment="1" applyProtection="1"/>
    <xf numFmtId="0" fontId="14" fillId="0" borderId="11" xfId="0" applyFont="1" applyFill="1" applyBorder="1" applyAlignment="1">
      <alignment horizontal="left"/>
    </xf>
    <xf numFmtId="166" fontId="0" fillId="0" borderId="12" xfId="13" applyFont="1" applyFill="1" applyBorder="1" applyAlignment="1" applyProtection="1">
      <protection locked="0"/>
    </xf>
    <xf numFmtId="0" fontId="14" fillId="0" borderId="8" xfId="0" applyFont="1" applyFill="1" applyBorder="1" applyAlignment="1">
      <alignment horizontal="center"/>
    </xf>
    <xf numFmtId="0" fontId="14" fillId="0" borderId="10" xfId="0" applyFont="1" applyFill="1" applyBorder="1"/>
    <xf numFmtId="0" fontId="14" fillId="0" borderId="11" xfId="0" applyFont="1" applyFill="1" applyBorder="1"/>
    <xf numFmtId="0" fontId="14" fillId="0" borderId="13" xfId="0" applyFont="1" applyFill="1" applyBorder="1"/>
    <xf numFmtId="0" fontId="14" fillId="0" borderId="8" xfId="0" applyFont="1" applyFill="1" applyBorder="1"/>
    <xf numFmtId="166" fontId="0" fillId="0" borderId="9" xfId="13" applyFont="1" applyFill="1" applyBorder="1" applyAlignment="1" applyProtection="1"/>
    <xf numFmtId="0" fontId="0" fillId="0" borderId="9" xfId="0" applyFill="1" applyBorder="1" applyAlignment="1">
      <alignment horizontal="center"/>
    </xf>
    <xf numFmtId="0" fontId="0" fillId="0" borderId="10" xfId="0" applyFill="1" applyBorder="1"/>
    <xf numFmtId="0" fontId="14" fillId="0" borderId="14" xfId="0" applyFont="1" applyFill="1" applyBorder="1"/>
    <xf numFmtId="166" fontId="0" fillId="0" borderId="15" xfId="13" applyFont="1" applyFill="1" applyBorder="1" applyAlignment="1" applyProtection="1"/>
    <xf numFmtId="0" fontId="0" fillId="0" borderId="15" xfId="0" applyFill="1" applyBorder="1" applyAlignment="1">
      <alignment horizontal="center"/>
    </xf>
    <xf numFmtId="0" fontId="0" fillId="0" borderId="18" xfId="0" applyFill="1" applyBorder="1"/>
    <xf numFmtId="166" fontId="0" fillId="0" borderId="19" xfId="13" applyFont="1" applyFill="1" applyBorder="1" applyAlignment="1" applyProtection="1">
      <protection locked="0"/>
    </xf>
    <xf numFmtId="0" fontId="14" fillId="0" borderId="16" xfId="0" applyFont="1" applyFill="1" applyBorder="1" applyAlignment="1">
      <alignment horizontal="left"/>
    </xf>
    <xf numFmtId="167" fontId="0" fillId="0" borderId="17" xfId="0" applyNumberFormat="1" applyFill="1" applyBorder="1" applyAlignment="1">
      <alignment horizontal="center"/>
    </xf>
    <xf numFmtId="167" fontId="0" fillId="0" borderId="17" xfId="0" applyNumberFormat="1" applyFill="1" applyBorder="1"/>
    <xf numFmtId="167" fontId="0" fillId="0" borderId="19" xfId="0" applyNumberFormat="1" applyFill="1" applyBorder="1"/>
    <xf numFmtId="167" fontId="14" fillId="0" borderId="17" xfId="0" applyNumberFormat="1" applyFont="1" applyFill="1" applyBorder="1" applyAlignment="1">
      <alignment horizontal="center"/>
    </xf>
    <xf numFmtId="2" fontId="0" fillId="0" borderId="17" xfId="0" applyNumberFormat="1" applyFill="1" applyBorder="1" applyAlignment="1">
      <alignment horizontal="center"/>
    </xf>
    <xf numFmtId="2" fontId="0" fillId="0" borderId="19" xfId="0" applyNumberFormat="1" applyFill="1" applyBorder="1" applyAlignment="1">
      <alignment horizontal="center"/>
    </xf>
    <xf numFmtId="167" fontId="0" fillId="0" borderId="0" xfId="0" applyNumberFormat="1" applyFill="1"/>
    <xf numFmtId="166" fontId="0" fillId="0" borderId="13" xfId="13" applyFont="1" applyFill="1" applyBorder="1" applyAlignment="1" applyProtection="1">
      <protection locked="0"/>
    </xf>
    <xf numFmtId="167" fontId="14" fillId="0" borderId="0" xfId="0" applyNumberFormat="1" applyFont="1" applyFill="1" applyAlignment="1">
      <alignment horizontal="center"/>
    </xf>
    <xf numFmtId="0" fontId="18" fillId="0" borderId="20" xfId="0" applyFont="1" applyFill="1" applyBorder="1" applyAlignment="1">
      <alignment horizontal="center"/>
    </xf>
    <xf numFmtId="0" fontId="18" fillId="0" borderId="21" xfId="0" applyFont="1" applyFill="1" applyBorder="1" applyAlignment="1">
      <alignment horizontal="center"/>
    </xf>
    <xf numFmtId="0" fontId="18" fillId="0" borderId="22" xfId="0" applyFont="1" applyFill="1" applyBorder="1" applyAlignment="1">
      <alignment horizontal="center"/>
    </xf>
    <xf numFmtId="0" fontId="14" fillId="0" borderId="16" xfId="0" applyFont="1" applyFill="1" applyBorder="1" applyAlignment="1">
      <alignment horizontal="center"/>
    </xf>
    <xf numFmtId="0" fontId="14" fillId="0" borderId="17" xfId="0" applyFont="1" applyFill="1" applyBorder="1" applyAlignment="1">
      <alignment horizontal="center"/>
    </xf>
    <xf numFmtId="0" fontId="14" fillId="0" borderId="19" xfId="0" applyFont="1" applyFill="1" applyBorder="1" applyAlignment="1">
      <alignment horizontal="center"/>
    </xf>
    <xf numFmtId="166" fontId="0" fillId="0" borderId="15" xfId="13" applyFont="1" applyFill="1" applyBorder="1" applyAlignment="1" applyProtection="1">
      <alignment horizontal="center"/>
      <protection locked="0"/>
    </xf>
    <xf numFmtId="166" fontId="0" fillId="0" borderId="18" xfId="13" applyFont="1" applyFill="1" applyBorder="1" applyAlignment="1" applyProtection="1">
      <alignment horizontal="center"/>
      <protection locked="0"/>
    </xf>
    <xf numFmtId="166" fontId="0" fillId="0" borderId="17" xfId="13" applyFont="1" applyFill="1" applyBorder="1" applyAlignment="1" applyProtection="1">
      <alignment horizontal="center"/>
      <protection locked="0"/>
    </xf>
    <xf numFmtId="166" fontId="0" fillId="0" borderId="19" xfId="13" applyFont="1" applyFill="1" applyBorder="1" applyAlignment="1" applyProtection="1">
      <alignment horizontal="center"/>
      <protection locked="0"/>
    </xf>
    <xf numFmtId="0" fontId="0" fillId="0" borderId="23" xfId="0" applyFill="1" applyBorder="1"/>
    <xf numFmtId="167" fontId="0" fillId="0" borderId="24" xfId="0" applyNumberFormat="1" applyFill="1" applyBorder="1" applyAlignment="1">
      <alignment horizontal="center"/>
    </xf>
    <xf numFmtId="167" fontId="0" fillId="0" borderId="25" xfId="0" applyNumberFormat="1" applyFill="1" applyBorder="1"/>
    <xf numFmtId="0" fontId="14" fillId="0" borderId="23" xfId="0" applyFont="1" applyFill="1" applyBorder="1"/>
    <xf numFmtId="166" fontId="0" fillId="0" borderId="12" xfId="13" applyFont="1" applyFill="1" applyBorder="1" applyAlignment="1" applyProtection="1">
      <alignment horizontal="center"/>
      <protection locked="0"/>
    </xf>
    <xf numFmtId="166" fontId="0" fillId="0" borderId="13" xfId="13" applyFont="1" applyFill="1" applyBorder="1" applyAlignment="1" applyProtection="1">
      <alignment horizontal="center"/>
      <protection locked="0"/>
    </xf>
    <xf numFmtId="0" fontId="0" fillId="0" borderId="8" xfId="0" applyFill="1" applyBorder="1"/>
    <xf numFmtId="0" fontId="0" fillId="0" borderId="12" xfId="0" applyFont="1" applyFill="1" applyBorder="1" applyAlignment="1">
      <alignment horizontal="center"/>
    </xf>
    <xf numFmtId="0" fontId="14" fillId="0" borderId="0" xfId="0" applyFont="1" applyFill="1"/>
    <xf numFmtId="168" fontId="0" fillId="0" borderId="0" xfId="0" applyNumberFormat="1" applyFill="1" applyAlignment="1">
      <alignment horizontal="center"/>
    </xf>
    <xf numFmtId="168" fontId="14" fillId="0" borderId="9" xfId="0" applyNumberFormat="1" applyFont="1" applyFill="1" applyBorder="1" applyAlignment="1">
      <alignment horizontal="center"/>
    </xf>
    <xf numFmtId="168" fontId="14" fillId="0" borderId="10" xfId="0" applyNumberFormat="1" applyFont="1" applyFill="1" applyBorder="1" applyAlignment="1">
      <alignment horizontal="center"/>
    </xf>
    <xf numFmtId="166" fontId="0" fillId="0" borderId="24" xfId="13" applyFont="1" applyFill="1" applyBorder="1" applyAlignment="1" applyProtection="1">
      <alignment horizontal="center"/>
      <protection locked="0"/>
    </xf>
    <xf numFmtId="166" fontId="0" fillId="0" borderId="25" xfId="13" applyFont="1" applyFill="1" applyBorder="1" applyAlignment="1" applyProtection="1">
      <alignment horizontal="center"/>
      <protection locked="0"/>
    </xf>
    <xf numFmtId="9" fontId="0" fillId="0" borderId="12" xfId="16" applyFont="1" applyFill="1" applyBorder="1" applyAlignment="1" applyProtection="1">
      <alignment horizontal="center"/>
      <protection locked="0"/>
    </xf>
    <xf numFmtId="9" fontId="0" fillId="0" borderId="13" xfId="16" applyFont="1" applyFill="1" applyBorder="1" applyAlignment="1" applyProtection="1">
      <alignment horizontal="center"/>
      <protection locked="0"/>
    </xf>
    <xf numFmtId="0" fontId="14" fillId="0" borderId="11" xfId="0" applyFont="1" applyFill="1" applyBorder="1" applyAlignment="1">
      <alignment horizontal="center"/>
    </xf>
    <xf numFmtId="166" fontId="0" fillId="0" borderId="9" xfId="13" applyFont="1" applyFill="1" applyBorder="1" applyAlignment="1" applyProtection="1">
      <alignment horizontal="center"/>
      <protection locked="0"/>
    </xf>
    <xf numFmtId="166" fontId="0" fillId="0" borderId="10" xfId="13" applyFont="1" applyFill="1" applyBorder="1" applyAlignment="1" applyProtection="1">
      <alignment horizontal="center"/>
      <protection locked="0"/>
    </xf>
    <xf numFmtId="166" fontId="0" fillId="0" borderId="17" xfId="13" applyFont="1" applyFill="1" applyBorder="1" applyAlignment="1" applyProtection="1">
      <alignment horizontal="center"/>
    </xf>
    <xf numFmtId="166" fontId="0" fillId="0" borderId="19" xfId="13" applyFont="1" applyFill="1" applyBorder="1" applyAlignment="1" applyProtection="1">
      <alignment horizontal="center"/>
    </xf>
    <xf numFmtId="9" fontId="0" fillId="0" borderId="17" xfId="16" applyFont="1" applyFill="1" applyBorder="1" applyAlignment="1" applyProtection="1">
      <alignment horizontal="center"/>
      <protection locked="0"/>
    </xf>
    <xf numFmtId="9" fontId="0" fillId="0" borderId="19" xfId="16" applyFont="1" applyFill="1" applyBorder="1" applyAlignment="1" applyProtection="1">
      <alignment horizontal="center"/>
      <protection locked="0"/>
    </xf>
    <xf numFmtId="0" fontId="18" fillId="0" borderId="8" xfId="0" applyFont="1" applyFill="1" applyBorder="1" applyAlignment="1">
      <alignment horizontal="center"/>
    </xf>
    <xf numFmtId="0" fontId="18" fillId="0" borderId="9" xfId="0" applyFont="1" applyFill="1" applyBorder="1" applyAlignment="1">
      <alignment horizontal="center"/>
    </xf>
    <xf numFmtId="0" fontId="18" fillId="0" borderId="10" xfId="0" applyFont="1" applyFill="1" applyBorder="1" applyAlignment="1">
      <alignment horizontal="center"/>
    </xf>
    <xf numFmtId="169" fontId="0" fillId="0" borderId="17" xfId="12" applyFont="1" applyFill="1" applyBorder="1" applyAlignment="1" applyProtection="1">
      <alignment horizontal="center"/>
      <protection locked="0"/>
    </xf>
    <xf numFmtId="169" fontId="0" fillId="0" borderId="19" xfId="12" applyFont="1" applyFill="1" applyBorder="1" applyAlignment="1" applyProtection="1">
      <alignment horizontal="center"/>
      <protection locked="0"/>
    </xf>
    <xf numFmtId="166" fontId="14" fillId="0" borderId="17" xfId="13" applyFont="1" applyFill="1" applyBorder="1" applyAlignment="1" applyProtection="1">
      <alignment horizontal="center"/>
      <protection locked="0"/>
    </xf>
    <xf numFmtId="166" fontId="14" fillId="0" borderId="19" xfId="13" applyFont="1" applyFill="1" applyBorder="1" applyAlignment="1" applyProtection="1">
      <alignment horizontal="center"/>
      <protection locked="0"/>
    </xf>
    <xf numFmtId="166" fontId="14" fillId="0" borderId="17" xfId="13" applyFont="1" applyFill="1" applyBorder="1" applyAlignment="1" applyProtection="1">
      <alignment horizontal="center"/>
    </xf>
    <xf numFmtId="166" fontId="14" fillId="0" borderId="19" xfId="13" applyFont="1" applyFill="1" applyBorder="1" applyAlignment="1" applyProtection="1">
      <alignment horizontal="center"/>
    </xf>
    <xf numFmtId="9" fontId="0" fillId="0" borderId="17" xfId="16" applyFont="1" applyFill="1" applyBorder="1" applyAlignment="1" applyProtection="1">
      <protection locked="0"/>
    </xf>
    <xf numFmtId="9" fontId="0" fillId="0" borderId="19" xfId="16" applyFont="1" applyFill="1" applyBorder="1" applyAlignment="1" applyProtection="1">
      <protection locked="0"/>
    </xf>
    <xf numFmtId="9" fontId="0" fillId="0" borderId="17" xfId="16" applyFont="1" applyFill="1" applyBorder="1" applyAlignment="1" applyProtection="1"/>
    <xf numFmtId="9" fontId="0" fillId="0" borderId="19" xfId="16" applyFont="1" applyFill="1" applyBorder="1" applyAlignment="1" applyProtection="1"/>
    <xf numFmtId="166" fontId="0" fillId="0" borderId="19" xfId="13" applyFont="1" applyFill="1" applyBorder="1" applyAlignment="1" applyProtection="1"/>
    <xf numFmtId="0" fontId="18" fillId="0" borderId="0" xfId="0" applyFont="1" applyFill="1"/>
    <xf numFmtId="0" fontId="0" fillId="0" borderId="0" xfId="0" applyBorder="1"/>
    <xf numFmtId="0" fontId="14" fillId="0" borderId="26" xfId="0" applyFont="1" applyFill="1" applyBorder="1"/>
    <xf numFmtId="166" fontId="0" fillId="0" borderId="15" xfId="13" applyFont="1" applyFill="1" applyBorder="1" applyAlignment="1" applyProtection="1">
      <alignment horizontal="center"/>
    </xf>
    <xf numFmtId="166" fontId="0" fillId="0" borderId="18" xfId="13" applyFont="1" applyFill="1" applyBorder="1" applyAlignment="1" applyProtection="1">
      <alignment horizontal="center"/>
    </xf>
    <xf numFmtId="0" fontId="0" fillId="0" borderId="26" xfId="0" applyFill="1" applyBorder="1"/>
    <xf numFmtId="0" fontId="14" fillId="0" borderId="27" xfId="0" applyFont="1" applyFill="1" applyBorder="1"/>
    <xf numFmtId="0" fontId="14" fillId="0" borderId="12" xfId="0" applyFont="1" applyFill="1" applyBorder="1" applyAlignment="1">
      <alignment horizontal="center" wrapText="1"/>
    </xf>
    <xf numFmtId="0" fontId="14" fillId="0" borderId="28" xfId="0" applyFont="1" applyFill="1" applyBorder="1" applyAlignment="1">
      <alignment horizontal="center"/>
    </xf>
    <xf numFmtId="166" fontId="0" fillId="0" borderId="29" xfId="13" applyFont="1" applyFill="1" applyBorder="1" applyAlignment="1" applyProtection="1">
      <alignment horizontal="center"/>
    </xf>
    <xf numFmtId="0" fontId="0" fillId="0" borderId="26" xfId="0" applyFont="1" applyFill="1" applyBorder="1"/>
    <xf numFmtId="166" fontId="0" fillId="0" borderId="30" xfId="13" applyFont="1" applyFill="1" applyBorder="1" applyAlignment="1" applyProtection="1">
      <alignment horizontal="center"/>
      <protection locked="0"/>
    </xf>
    <xf numFmtId="166" fontId="0" fillId="0" borderId="30" xfId="13" applyFont="1" applyFill="1" applyBorder="1" applyAlignment="1" applyProtection="1">
      <alignment horizontal="center"/>
    </xf>
    <xf numFmtId="166" fontId="0" fillId="0" borderId="28" xfId="13" applyFont="1" applyFill="1" applyBorder="1" applyAlignment="1" applyProtection="1">
      <alignment horizontal="center"/>
      <protection locked="0"/>
    </xf>
    <xf numFmtId="0" fontId="18" fillId="0" borderId="20" xfId="0" applyFont="1" applyFill="1" applyBorder="1" applyAlignment="1">
      <alignment horizontal="left"/>
    </xf>
    <xf numFmtId="0" fontId="18" fillId="0" borderId="31" xfId="0" applyFont="1" applyFill="1" applyBorder="1" applyAlignment="1">
      <alignment horizontal="left"/>
    </xf>
    <xf numFmtId="0" fontId="18" fillId="0" borderId="26" xfId="0" applyFont="1" applyFill="1" applyBorder="1" applyAlignment="1">
      <alignment horizontal="center"/>
    </xf>
    <xf numFmtId="0" fontId="18" fillId="0" borderId="32" xfId="0" applyFont="1" applyFill="1" applyBorder="1" applyAlignment="1">
      <alignment horizontal="center"/>
    </xf>
    <xf numFmtId="0" fontId="14" fillId="0" borderId="23" xfId="0" applyFont="1" applyFill="1" applyBorder="1" applyAlignment="1">
      <alignment horizontal="center"/>
    </xf>
    <xf numFmtId="0" fontId="14" fillId="0" borderId="33" xfId="0" applyFont="1" applyFill="1" applyBorder="1"/>
    <xf numFmtId="166" fontId="0" fillId="0" borderId="34" xfId="13" applyFont="1" applyFill="1" applyBorder="1" applyAlignment="1" applyProtection="1">
      <alignment horizontal="center"/>
    </xf>
    <xf numFmtId="0" fontId="0" fillId="0" borderId="35" xfId="0" applyFont="1" applyFill="1" applyBorder="1"/>
    <xf numFmtId="166" fontId="0" fillId="0" borderId="36" xfId="13" applyFont="1" applyFill="1" applyBorder="1" applyAlignment="1" applyProtection="1">
      <alignment horizontal="center"/>
      <protection locked="0"/>
    </xf>
    <xf numFmtId="0" fontId="14" fillId="0" borderId="35" xfId="0" applyFont="1" applyFill="1" applyBorder="1"/>
    <xf numFmtId="166" fontId="0" fillId="0" borderId="36" xfId="13" applyFont="1" applyFill="1" applyBorder="1" applyAlignment="1" applyProtection="1">
      <alignment horizontal="center"/>
    </xf>
    <xf numFmtId="0" fontId="14" fillId="0" borderId="35" xfId="0" applyFont="1" applyFill="1" applyBorder="1" applyAlignment="1">
      <alignment horizontal="left"/>
    </xf>
    <xf numFmtId="0" fontId="14" fillId="0" borderId="37" xfId="0" applyFont="1" applyFill="1" applyBorder="1"/>
    <xf numFmtId="166" fontId="0" fillId="0" borderId="38" xfId="13" applyFont="1" applyFill="1" applyBorder="1" applyAlignment="1" applyProtection="1">
      <alignment horizontal="center"/>
      <protection locked="0"/>
    </xf>
    <xf numFmtId="0" fontId="14" fillId="0" borderId="28" xfId="0" applyFont="1" applyFill="1" applyBorder="1" applyAlignment="1">
      <alignment horizontal="center" wrapText="1"/>
    </xf>
    <xf numFmtId="0" fontId="14" fillId="0" borderId="13" xfId="0" applyFont="1" applyFill="1" applyBorder="1" applyAlignment="1">
      <alignment horizontal="center" wrapText="1"/>
    </xf>
    <xf numFmtId="0" fontId="14" fillId="0" borderId="33" xfId="0" applyFont="1" applyFill="1" applyBorder="1" applyAlignment="1">
      <alignment horizontal="center"/>
    </xf>
    <xf numFmtId="166" fontId="0" fillId="0" borderId="34" xfId="13" applyFont="1" applyFill="1" applyBorder="1" applyAlignment="1" applyProtection="1">
      <alignment horizontal="center"/>
      <protection locked="0"/>
    </xf>
    <xf numFmtId="166" fontId="0" fillId="0" borderId="29" xfId="13" applyFont="1" applyFill="1" applyBorder="1" applyAlignment="1" applyProtection="1">
      <alignment horizontal="center"/>
      <protection locked="0"/>
    </xf>
    <xf numFmtId="0" fontId="14" fillId="0" borderId="35" xfId="0" applyFont="1" applyFill="1" applyBorder="1" applyAlignment="1">
      <alignment horizontal="center"/>
    </xf>
    <xf numFmtId="0" fontId="14" fillId="0" borderId="37" xfId="0" applyFont="1" applyFill="1" applyBorder="1" applyAlignment="1">
      <alignment horizontal="center"/>
    </xf>
    <xf numFmtId="0" fontId="0" fillId="0" borderId="0" xfId="0" applyFont="1" applyFill="1" applyAlignment="1">
      <alignment horizontal="right"/>
    </xf>
    <xf numFmtId="166" fontId="0" fillId="0" borderId="2" xfId="13" applyFont="1" applyFill="1" applyBorder="1" applyAlignment="1" applyProtection="1">
      <protection locked="0"/>
    </xf>
    <xf numFmtId="0" fontId="0" fillId="0" borderId="2" xfId="0" applyFill="1" applyBorder="1" applyProtection="1">
      <protection locked="0"/>
    </xf>
    <xf numFmtId="9" fontId="0" fillId="0" borderId="2" xfId="16" applyFont="1" applyFill="1" applyBorder="1" applyAlignment="1" applyProtection="1">
      <protection locked="0"/>
    </xf>
    <xf numFmtId="0" fontId="0" fillId="0" borderId="0" xfId="0" applyBorder="1" applyAlignment="1" applyProtection="1">
      <alignment horizontal="center"/>
    </xf>
    <xf numFmtId="0" fontId="5" fillId="12" borderId="39" xfId="0" applyFont="1" applyFill="1" applyBorder="1" applyProtection="1"/>
    <xf numFmtId="0" fontId="0" fillId="0" borderId="39" xfId="0" applyBorder="1" applyAlignment="1" applyProtection="1">
      <alignment horizontal="center"/>
    </xf>
    <xf numFmtId="0" fontId="0" fillId="0" borderId="2" xfId="0" applyBorder="1"/>
    <xf numFmtId="0" fontId="18" fillId="0" borderId="8" xfId="0" applyFont="1" applyFill="1" applyBorder="1" applyAlignment="1">
      <alignment horizontal="left"/>
    </xf>
    <xf numFmtId="0" fontId="14" fillId="0" borderId="17" xfId="0" applyFont="1" applyFill="1" applyBorder="1" applyAlignment="1" applyProtection="1">
      <alignment horizontal="center"/>
      <protection locked="0"/>
    </xf>
    <xf numFmtId="0" fontId="14" fillId="0" borderId="19" xfId="0" applyFont="1" applyFill="1" applyBorder="1" applyAlignment="1" applyProtection="1">
      <alignment horizontal="center"/>
      <protection locked="0"/>
    </xf>
    <xf numFmtId="166" fontId="14" fillId="0" borderId="12" xfId="13" applyFont="1" applyFill="1" applyBorder="1" applyAlignment="1" applyProtection="1">
      <alignment horizontal="center"/>
      <protection locked="0"/>
    </xf>
    <xf numFmtId="9" fontId="14" fillId="0" borderId="12" xfId="16" applyFont="1" applyFill="1" applyBorder="1" applyAlignment="1" applyProtection="1">
      <alignment horizontal="center"/>
      <protection locked="0"/>
    </xf>
    <xf numFmtId="9" fontId="14" fillId="0" borderId="13" xfId="16" applyFont="1" applyFill="1" applyBorder="1" applyAlignment="1" applyProtection="1">
      <alignment horizontal="center"/>
      <protection locked="0"/>
    </xf>
    <xf numFmtId="1" fontId="14" fillId="0" borderId="0" xfId="0" applyNumberFormat="1" applyFont="1" applyFill="1" applyAlignment="1">
      <alignment horizontal="center"/>
    </xf>
    <xf numFmtId="0" fontId="18" fillId="0" borderId="40" xfId="0" applyFont="1" applyFill="1" applyBorder="1" applyAlignment="1">
      <alignment horizontal="left"/>
    </xf>
    <xf numFmtId="0" fontId="18" fillId="0" borderId="41" xfId="0" applyFont="1" applyFill="1" applyBorder="1" applyAlignment="1">
      <alignment horizontal="left"/>
    </xf>
    <xf numFmtId="0" fontId="18" fillId="0" borderId="42" xfId="0" applyFont="1" applyFill="1" applyBorder="1" applyAlignment="1">
      <alignment horizontal="left"/>
    </xf>
    <xf numFmtId="0" fontId="14" fillId="0" borderId="43" xfId="0" applyFont="1" applyFill="1" applyBorder="1" applyAlignment="1">
      <alignment horizontal="center"/>
    </xf>
    <xf numFmtId="0" fontId="14" fillId="0" borderId="44" xfId="0" applyFont="1" applyFill="1" applyBorder="1" applyAlignment="1">
      <alignment horizontal="center"/>
    </xf>
    <xf numFmtId="0" fontId="14" fillId="0" borderId="45" xfId="0" applyFont="1" applyFill="1" applyBorder="1" applyAlignment="1">
      <alignment horizontal="center"/>
    </xf>
    <xf numFmtId="0" fontId="14" fillId="0" borderId="46" xfId="0" applyFont="1" applyFill="1" applyBorder="1" applyAlignment="1">
      <alignment horizontal="center"/>
    </xf>
    <xf numFmtId="0" fontId="14" fillId="0" borderId="47" xfId="0" applyFont="1" applyFill="1" applyBorder="1" applyAlignment="1">
      <alignment horizontal="center"/>
    </xf>
    <xf numFmtId="0" fontId="14" fillId="0" borderId="48" xfId="0" applyFont="1" applyFill="1" applyBorder="1" applyAlignment="1">
      <alignment horizontal="center"/>
    </xf>
    <xf numFmtId="170" fontId="0" fillId="0" borderId="8" xfId="0" applyNumberFormat="1" applyFont="1" applyFill="1" applyBorder="1" applyProtection="1">
      <protection locked="0"/>
    </xf>
    <xf numFmtId="166" fontId="0" fillId="0" borderId="9" xfId="13" applyFont="1" applyFill="1" applyBorder="1" applyAlignment="1" applyProtection="1">
      <protection locked="0"/>
    </xf>
    <xf numFmtId="9" fontId="0" fillId="0" borderId="9" xfId="16" applyFont="1" applyFill="1" applyBorder="1" applyAlignment="1" applyProtection="1">
      <protection locked="0"/>
    </xf>
    <xf numFmtId="170" fontId="0" fillId="0" borderId="16" xfId="0" applyNumberFormat="1" applyFont="1" applyFill="1" applyBorder="1" applyProtection="1">
      <protection locked="0"/>
    </xf>
    <xf numFmtId="170" fontId="0" fillId="0" borderId="11" xfId="0" applyNumberFormat="1" applyFont="1" applyFill="1" applyBorder="1" applyProtection="1">
      <protection locked="0"/>
    </xf>
    <xf numFmtId="9" fontId="0" fillId="0" borderId="12" xfId="16" applyFont="1" applyFill="1" applyBorder="1" applyAlignment="1" applyProtection="1">
      <protection locked="0"/>
    </xf>
    <xf numFmtId="0" fontId="14" fillId="0" borderId="0" xfId="0" applyFont="1" applyFill="1" applyBorder="1" applyAlignment="1">
      <alignment horizontal="right"/>
    </xf>
    <xf numFmtId="166" fontId="14" fillId="0" borderId="0" xfId="13" applyFont="1" applyFill="1" applyBorder="1" applyAlignment="1" applyProtection="1">
      <alignment horizontal="center"/>
    </xf>
    <xf numFmtId="166" fontId="14" fillId="0" borderId="2" xfId="13" applyFont="1" applyFill="1" applyBorder="1" applyAlignment="1" applyProtection="1">
      <alignment horizontal="center"/>
      <protection locked="0"/>
    </xf>
    <xf numFmtId="166" fontId="14" fillId="0" borderId="0" xfId="13" applyFont="1" applyFill="1" applyBorder="1" applyAlignment="1" applyProtection="1"/>
    <xf numFmtId="9" fontId="0" fillId="0" borderId="0" xfId="16" applyFont="1" applyFill="1" applyBorder="1" applyAlignment="1" applyProtection="1"/>
    <xf numFmtId="170" fontId="0" fillId="0" borderId="16" xfId="0" applyNumberFormat="1" applyFont="1" applyFill="1" applyBorder="1" applyAlignment="1" applyProtection="1">
      <alignment horizontal="left"/>
      <protection locked="0"/>
    </xf>
    <xf numFmtId="166" fontId="14" fillId="0" borderId="12" xfId="13" applyFont="1" applyFill="1" applyBorder="1" applyAlignment="1" applyProtection="1"/>
    <xf numFmtId="9" fontId="14" fillId="0" borderId="12" xfId="16" applyFont="1" applyFill="1" applyBorder="1" applyAlignment="1" applyProtection="1"/>
    <xf numFmtId="166" fontId="14" fillId="0" borderId="13" xfId="13" applyFont="1" applyFill="1" applyBorder="1" applyAlignment="1" applyProtection="1">
      <alignment horizontal="center"/>
      <protection locked="0"/>
    </xf>
    <xf numFmtId="0" fontId="0" fillId="0" borderId="0" xfId="0" applyFill="1" applyProtection="1"/>
    <xf numFmtId="0" fontId="18" fillId="0" borderId="20" xfId="0" applyFont="1" applyFill="1" applyBorder="1" applyAlignment="1" applyProtection="1">
      <alignment horizontal="left"/>
    </xf>
    <xf numFmtId="0" fontId="18" fillId="0" borderId="21" xfId="0" applyFont="1" applyFill="1" applyBorder="1" applyAlignment="1" applyProtection="1">
      <alignment horizontal="center"/>
    </xf>
    <xf numFmtId="0" fontId="18" fillId="0" borderId="22" xfId="0" applyFont="1" applyFill="1" applyBorder="1" applyAlignment="1" applyProtection="1">
      <alignment horizontal="center"/>
    </xf>
    <xf numFmtId="0" fontId="14" fillId="0" borderId="16" xfId="0" applyFont="1" applyFill="1" applyBorder="1" applyAlignment="1" applyProtection="1">
      <alignment horizontal="center"/>
    </xf>
    <xf numFmtId="0" fontId="14" fillId="0" borderId="12" xfId="0" applyFont="1" applyFill="1" applyBorder="1" applyAlignment="1" applyProtection="1">
      <alignment horizontal="center"/>
    </xf>
    <xf numFmtId="0" fontId="14" fillId="0" borderId="28" xfId="0" applyFont="1" applyFill="1" applyBorder="1" applyAlignment="1" applyProtection="1">
      <alignment horizontal="center"/>
    </xf>
    <xf numFmtId="0" fontId="14" fillId="0" borderId="13" xfId="0" applyFont="1" applyFill="1" applyBorder="1" applyAlignment="1" applyProtection="1">
      <alignment horizontal="center"/>
    </xf>
    <xf numFmtId="0" fontId="14" fillId="0" borderId="0" xfId="0" applyFont="1" applyFill="1" applyProtection="1"/>
    <xf numFmtId="0" fontId="0" fillId="0" borderId="0" xfId="0" applyFont="1" applyFill="1" applyAlignment="1" applyProtection="1">
      <alignment horizontal="left"/>
    </xf>
    <xf numFmtId="0" fontId="14" fillId="0" borderId="27" xfId="0" applyFont="1" applyFill="1" applyBorder="1" applyProtection="1"/>
    <xf numFmtId="0" fontId="14" fillId="0" borderId="0" xfId="0" applyFont="1" applyFill="1" applyAlignment="1" applyProtection="1">
      <alignment horizontal="center"/>
    </xf>
    <xf numFmtId="0" fontId="0" fillId="0" borderId="49" xfId="0" applyFill="1" applyBorder="1" applyProtection="1"/>
    <xf numFmtId="166" fontId="14" fillId="0" borderId="18" xfId="13" applyFont="1" applyFill="1" applyBorder="1" applyAlignment="1" applyProtection="1">
      <alignment horizontal="center"/>
    </xf>
    <xf numFmtId="0" fontId="14" fillId="0" borderId="16" xfId="0" applyFont="1" applyFill="1" applyBorder="1" applyProtection="1"/>
    <xf numFmtId="0" fontId="14" fillId="0" borderId="16" xfId="0" applyFont="1" applyFill="1" applyBorder="1" applyAlignment="1" applyProtection="1">
      <alignment horizontal="left"/>
    </xf>
    <xf numFmtId="0" fontId="14" fillId="0" borderId="11" xfId="0" applyFont="1" applyFill="1" applyBorder="1" applyProtection="1"/>
    <xf numFmtId="0" fontId="18" fillId="0" borderId="0" xfId="0" applyFont="1" applyFill="1" applyProtection="1"/>
    <xf numFmtId="0" fontId="18" fillId="0" borderId="31" xfId="0" applyFont="1" applyFill="1" applyBorder="1" applyAlignment="1" applyProtection="1">
      <alignment horizontal="left"/>
    </xf>
    <xf numFmtId="0" fontId="18" fillId="0" borderId="26" xfId="0" applyFont="1" applyFill="1" applyBorder="1" applyAlignment="1" applyProtection="1">
      <alignment horizontal="center"/>
    </xf>
    <xf numFmtId="0" fontId="18" fillId="0" borderId="32" xfId="0" applyFont="1" applyFill="1" applyBorder="1" applyAlignment="1" applyProtection="1">
      <alignment horizontal="center"/>
    </xf>
    <xf numFmtId="0" fontId="14" fillId="0" borderId="23" xfId="0" applyFont="1" applyFill="1" applyBorder="1" applyAlignment="1" applyProtection="1">
      <alignment horizontal="center"/>
    </xf>
    <xf numFmtId="0" fontId="14" fillId="0" borderId="12" xfId="0" applyFont="1" applyFill="1" applyBorder="1" applyAlignment="1" applyProtection="1">
      <alignment horizontal="center" wrapText="1"/>
    </xf>
    <xf numFmtId="0" fontId="14" fillId="0" borderId="33" xfId="0" applyFont="1" applyFill="1" applyBorder="1" applyProtection="1"/>
    <xf numFmtId="0" fontId="0" fillId="0" borderId="35" xfId="0" applyFont="1" applyFill="1" applyBorder="1" applyProtection="1"/>
    <xf numFmtId="0" fontId="0" fillId="0" borderId="35" xfId="0" applyFont="1" applyFill="1" applyBorder="1" applyAlignment="1" applyProtection="1">
      <alignment horizontal="left"/>
    </xf>
    <xf numFmtId="0" fontId="14" fillId="0" borderId="35" xfId="0" applyFont="1" applyFill="1" applyBorder="1" applyProtection="1"/>
    <xf numFmtId="0" fontId="14" fillId="0" borderId="35" xfId="0" applyFont="1" applyFill="1" applyBorder="1" applyAlignment="1" applyProtection="1">
      <alignment horizontal="left"/>
    </xf>
    <xf numFmtId="0" fontId="14" fillId="0" borderId="37" xfId="0" applyFont="1" applyFill="1" applyBorder="1" applyProtection="1"/>
    <xf numFmtId="0" fontId="0" fillId="0" borderId="0" xfId="0" applyProtection="1"/>
    <xf numFmtId="0" fontId="18" fillId="0" borderId="8" xfId="0" applyFont="1" applyFill="1" applyBorder="1" applyAlignment="1" applyProtection="1">
      <alignment horizontal="left"/>
    </xf>
    <xf numFmtId="0" fontId="18" fillId="0" borderId="9" xfId="0" applyFont="1" applyFill="1" applyBorder="1" applyAlignment="1" applyProtection="1">
      <alignment horizontal="center"/>
    </xf>
    <xf numFmtId="0" fontId="18" fillId="0" borderId="50" xfId="0" applyFont="1" applyFill="1" applyBorder="1" applyAlignment="1" applyProtection="1">
      <alignment horizontal="center"/>
    </xf>
    <xf numFmtId="0" fontId="18" fillId="0" borderId="10" xfId="0" applyFont="1" applyFill="1" applyBorder="1" applyAlignment="1" applyProtection="1">
      <alignment horizontal="center"/>
    </xf>
    <xf numFmtId="0" fontId="0" fillId="0" borderId="16" xfId="0" applyFill="1" applyBorder="1" applyProtection="1"/>
    <xf numFmtId="0" fontId="14" fillId="0" borderId="17" xfId="0" applyFont="1" applyFill="1" applyBorder="1" applyAlignment="1" applyProtection="1">
      <alignment horizontal="center"/>
    </xf>
    <xf numFmtId="0" fontId="14" fillId="0" borderId="30" xfId="0" applyFont="1" applyFill="1" applyBorder="1" applyAlignment="1" applyProtection="1">
      <alignment horizontal="center"/>
    </xf>
    <xf numFmtId="0" fontId="14" fillId="0" borderId="19" xfId="0" applyFont="1" applyFill="1" applyBorder="1" applyAlignment="1" applyProtection="1">
      <alignment horizontal="center"/>
    </xf>
    <xf numFmtId="169" fontId="0" fillId="0" borderId="30" xfId="12" applyFont="1" applyFill="1" applyBorder="1" applyAlignment="1" applyProtection="1">
      <alignment horizontal="center"/>
      <protection locked="0"/>
    </xf>
    <xf numFmtId="169" fontId="0" fillId="0" borderId="17" xfId="12" applyFont="1" applyFill="1" applyBorder="1" applyAlignment="1" applyProtection="1">
      <protection locked="0"/>
    </xf>
    <xf numFmtId="169" fontId="0" fillId="0" borderId="30" xfId="12" applyFont="1" applyFill="1" applyBorder="1" applyAlignment="1" applyProtection="1">
      <protection locked="0"/>
    </xf>
    <xf numFmtId="169" fontId="0" fillId="0" borderId="19" xfId="12" applyFont="1" applyFill="1" applyBorder="1" applyAlignment="1" applyProtection="1">
      <protection locked="0"/>
    </xf>
    <xf numFmtId="166" fontId="14" fillId="0" borderId="30" xfId="13" applyFont="1" applyFill="1" applyBorder="1" applyAlignment="1" applyProtection="1">
      <alignment horizontal="center"/>
      <protection locked="0"/>
    </xf>
    <xf numFmtId="166" fontId="0" fillId="0" borderId="28" xfId="13" applyFont="1" applyFill="1" applyBorder="1" applyAlignment="1" applyProtection="1">
      <protection locked="0"/>
    </xf>
    <xf numFmtId="0" fontId="0" fillId="0" borderId="23" xfId="0" applyFill="1" applyBorder="1" applyProtection="1"/>
    <xf numFmtId="0" fontId="14" fillId="0" borderId="24" xfId="0" applyFont="1" applyFill="1" applyBorder="1" applyAlignment="1" applyProtection="1">
      <alignment horizontal="center"/>
    </xf>
    <xf numFmtId="0" fontId="14" fillId="0" borderId="25" xfId="0" applyFont="1" applyFill="1" applyBorder="1" applyAlignment="1" applyProtection="1">
      <alignment horizontal="center"/>
    </xf>
    <xf numFmtId="0" fontId="14" fillId="0" borderId="8" xfId="0" applyFont="1" applyFill="1" applyBorder="1" applyProtection="1"/>
    <xf numFmtId="169" fontId="0" fillId="0" borderId="9" xfId="12" applyFont="1" applyFill="1" applyBorder="1" applyAlignment="1" applyProtection="1">
      <alignment horizontal="center"/>
      <protection locked="0"/>
    </xf>
    <xf numFmtId="169" fontId="0" fillId="0" borderId="10" xfId="12" applyFont="1" applyFill="1" applyBorder="1" applyAlignment="1" applyProtection="1">
      <alignment horizontal="center"/>
      <protection locked="0"/>
    </xf>
    <xf numFmtId="169" fontId="0" fillId="0" borderId="17" xfId="12" applyFont="1" applyFill="1" applyBorder="1" applyAlignment="1" applyProtection="1">
      <alignment horizontal="center"/>
    </xf>
    <xf numFmtId="169" fontId="0" fillId="0" borderId="19" xfId="12" applyFont="1" applyFill="1" applyBorder="1" applyAlignment="1" applyProtection="1">
      <alignment horizontal="center"/>
    </xf>
    <xf numFmtId="0" fontId="5" fillId="12" borderId="39" xfId="0" applyFont="1" applyFill="1" applyBorder="1" applyAlignment="1" applyProtection="1">
      <alignment horizontal="center"/>
    </xf>
    <xf numFmtId="0" fontId="14" fillId="0" borderId="28" xfId="0" applyFont="1" applyFill="1" applyBorder="1" applyAlignment="1" applyProtection="1">
      <alignment horizontal="center" wrapText="1"/>
    </xf>
    <xf numFmtId="0" fontId="14" fillId="0" borderId="13" xfId="0" applyFont="1" applyFill="1" applyBorder="1" applyAlignment="1" applyProtection="1">
      <alignment horizontal="center" wrapText="1"/>
    </xf>
    <xf numFmtId="0" fontId="14" fillId="0" borderId="33" xfId="0" applyFont="1" applyFill="1" applyBorder="1" applyAlignment="1" applyProtection="1">
      <alignment horizontal="center"/>
    </xf>
    <xf numFmtId="0" fontId="14" fillId="0" borderId="35" xfId="0" applyFont="1" applyFill="1" applyBorder="1" applyAlignment="1" applyProtection="1">
      <alignment horizontal="center"/>
    </xf>
    <xf numFmtId="0" fontId="14" fillId="0" borderId="37" xfId="0" applyFont="1" applyFill="1" applyBorder="1" applyAlignment="1" applyProtection="1">
      <alignment horizontal="center"/>
    </xf>
    <xf numFmtId="0" fontId="0" fillId="0" borderId="0" xfId="0" applyFont="1" applyFill="1" applyAlignment="1" applyProtection="1">
      <alignment horizontal="right"/>
    </xf>
    <xf numFmtId="0" fontId="14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 wrapText="1"/>
    </xf>
    <xf numFmtId="166" fontId="0" fillId="0" borderId="0" xfId="0" applyNumberFormat="1" applyFill="1" applyBorder="1"/>
    <xf numFmtId="0" fontId="0" fillId="0" borderId="0" xfId="0" applyFill="1" applyBorder="1" applyAlignment="1" applyProtection="1">
      <alignment horizontal="center"/>
    </xf>
    <xf numFmtId="168" fontId="0" fillId="0" borderId="0" xfId="0" applyNumberFormat="1" applyFill="1" applyBorder="1" applyAlignment="1" applyProtection="1">
      <alignment horizontal="center"/>
    </xf>
    <xf numFmtId="168" fontId="0" fillId="0" borderId="0" xfId="0" applyNumberFormat="1" applyFill="1" applyAlignment="1" applyProtection="1">
      <alignment horizontal="center"/>
    </xf>
    <xf numFmtId="167" fontId="0" fillId="0" borderId="0" xfId="0" applyNumberFormat="1" applyFill="1" applyBorder="1" applyAlignment="1" applyProtection="1">
      <alignment horizontal="center"/>
    </xf>
    <xf numFmtId="166" fontId="1" fillId="0" borderId="0" xfId="0" applyNumberFormat="1" applyFont="1" applyFill="1" applyBorder="1"/>
    <xf numFmtId="0" fontId="19" fillId="0" borderId="0" xfId="0" applyFont="1" applyFill="1" applyProtection="1"/>
    <xf numFmtId="1" fontId="0" fillId="0" borderId="0" xfId="0" applyNumberFormat="1" applyFill="1" applyBorder="1" applyAlignment="1" applyProtection="1">
      <alignment horizontal="center"/>
    </xf>
    <xf numFmtId="167" fontId="0" fillId="0" borderId="0" xfId="0" applyNumberFormat="1" applyFill="1" applyAlignment="1" applyProtection="1">
      <alignment horizontal="center"/>
    </xf>
    <xf numFmtId="0" fontId="14" fillId="0" borderId="0" xfId="0" applyFont="1" applyFill="1" applyAlignment="1" applyProtection="1">
      <alignment horizontal="left"/>
    </xf>
    <xf numFmtId="0" fontId="0" fillId="0" borderId="0" xfId="0" applyFont="1" applyFill="1" applyBorder="1"/>
    <xf numFmtId="3" fontId="0" fillId="11" borderId="2" xfId="0" applyNumberFormat="1" applyFill="1" applyBorder="1" applyProtection="1">
      <protection locked="0"/>
    </xf>
    <xf numFmtId="171" fontId="0" fillId="0" borderId="0" xfId="0" applyNumberFormat="1"/>
    <xf numFmtId="168" fontId="0" fillId="0" borderId="17" xfId="13" applyNumberFormat="1" applyFont="1" applyFill="1" applyBorder="1" applyAlignment="1" applyProtection="1">
      <protection locked="0"/>
    </xf>
    <xf numFmtId="168" fontId="0" fillId="0" borderId="17" xfId="0" applyNumberFormat="1" applyFill="1" applyBorder="1" applyAlignment="1">
      <alignment horizontal="center"/>
    </xf>
    <xf numFmtId="168" fontId="0" fillId="0" borderId="17" xfId="0" applyNumberFormat="1" applyFill="1" applyBorder="1"/>
    <xf numFmtId="172" fontId="0" fillId="0" borderId="0" xfId="0" applyNumberFormat="1"/>
    <xf numFmtId="0" fontId="0" fillId="0" borderId="51" xfId="0" applyBorder="1"/>
    <xf numFmtId="166" fontId="14" fillId="0" borderId="12" xfId="13" applyFont="1" applyFill="1" applyBorder="1" applyAlignment="1" applyProtection="1">
      <protection locked="0"/>
    </xf>
    <xf numFmtId="168" fontId="14" fillId="0" borderId="12" xfId="13" applyNumberFormat="1" applyFont="1" applyFill="1" applyBorder="1" applyAlignment="1" applyProtection="1">
      <protection locked="0"/>
    </xf>
    <xf numFmtId="166" fontId="14" fillId="0" borderId="17" xfId="13" applyFont="1" applyFill="1" applyBorder="1" applyAlignment="1" applyProtection="1">
      <protection locked="0"/>
    </xf>
    <xf numFmtId="168" fontId="14" fillId="0" borderId="17" xfId="13" applyNumberFormat="1" applyFont="1" applyFill="1" applyBorder="1" applyAlignment="1" applyProtection="1">
      <protection locked="0"/>
    </xf>
    <xf numFmtId="166" fontId="14" fillId="0" borderId="19" xfId="13" applyFont="1" applyFill="1" applyBorder="1" applyAlignment="1" applyProtection="1">
      <protection locked="0"/>
    </xf>
    <xf numFmtId="0" fontId="0" fillId="0" borderId="52" xfId="0" applyFill="1" applyBorder="1" applyAlignment="1">
      <alignment horizontal="center"/>
    </xf>
    <xf numFmtId="9" fontId="20" fillId="0" borderId="52" xfId="16" applyFill="1" applyBorder="1" applyAlignment="1">
      <alignment horizontal="center"/>
    </xf>
    <xf numFmtId="9" fontId="0" fillId="0" borderId="52" xfId="16" applyFont="1" applyFill="1" applyBorder="1" applyAlignment="1">
      <alignment horizontal="center"/>
    </xf>
    <xf numFmtId="9" fontId="20" fillId="0" borderId="53" xfId="16" applyFill="1" applyBorder="1" applyAlignment="1">
      <alignment horizontal="center"/>
    </xf>
    <xf numFmtId="173" fontId="14" fillId="0" borderId="24" xfId="0" applyNumberFormat="1" applyFont="1" applyFill="1" applyBorder="1" applyAlignment="1" applyProtection="1">
      <alignment horizontal="center"/>
      <protection locked="0"/>
    </xf>
    <xf numFmtId="10" fontId="14" fillId="0" borderId="12" xfId="13" applyNumberFormat="1" applyFont="1" applyFill="1" applyBorder="1" applyAlignment="1" applyProtection="1">
      <alignment horizontal="center"/>
      <protection locked="0"/>
    </xf>
    <xf numFmtId="3" fontId="20" fillId="0" borderId="17" xfId="13" applyNumberFormat="1" applyFont="1" applyFill="1" applyBorder="1" applyAlignment="1" applyProtection="1">
      <alignment horizontal="center"/>
      <protection locked="0"/>
    </xf>
    <xf numFmtId="166" fontId="20" fillId="13" borderId="24" xfId="13" applyFont="1" applyFill="1" applyBorder="1" applyAlignment="1" applyProtection="1">
      <alignment horizontal="center"/>
      <protection locked="0"/>
    </xf>
    <xf numFmtId="166" fontId="20" fillId="13" borderId="17" xfId="13" applyFont="1" applyFill="1" applyBorder="1" applyAlignment="1" applyProtection="1">
      <alignment horizontal="center"/>
      <protection locked="0"/>
    </xf>
    <xf numFmtId="10" fontId="14" fillId="0" borderId="24" xfId="16" applyNumberFormat="1" applyFont="1" applyFill="1" applyBorder="1" applyAlignment="1" applyProtection="1">
      <alignment horizontal="center"/>
      <protection locked="0"/>
    </xf>
    <xf numFmtId="9" fontId="14" fillId="0" borderId="17" xfId="16" applyFont="1" applyFill="1" applyBorder="1" applyAlignment="1" applyProtection="1">
      <protection locked="0"/>
    </xf>
    <xf numFmtId="166" fontId="0" fillId="0" borderId="17" xfId="16" applyNumberFormat="1" applyFont="1" applyFill="1" applyBorder="1" applyAlignment="1" applyProtection="1">
      <protection locked="0"/>
    </xf>
    <xf numFmtId="10" fontId="0" fillId="0" borderId="12" xfId="13" applyNumberFormat="1" applyFont="1" applyFill="1" applyBorder="1" applyAlignment="1" applyProtection="1">
      <protection locked="0"/>
    </xf>
    <xf numFmtId="166" fontId="20" fillId="13" borderId="19" xfId="13" applyFont="1" applyFill="1" applyBorder="1" applyAlignment="1" applyProtection="1">
      <alignment horizontal="center"/>
      <protection locked="0"/>
    </xf>
    <xf numFmtId="0" fontId="14" fillId="13" borderId="10" xfId="0" applyFont="1" applyFill="1" applyBorder="1" applyAlignment="1">
      <alignment horizontal="center"/>
    </xf>
    <xf numFmtId="0" fontId="14" fillId="13" borderId="19" xfId="0" applyFont="1" applyFill="1" applyBorder="1" applyAlignment="1">
      <alignment horizontal="center"/>
    </xf>
    <xf numFmtId="0" fontId="0" fillId="13" borderId="13" xfId="0" applyFont="1" applyFill="1" applyBorder="1" applyAlignment="1">
      <alignment horizontal="center"/>
    </xf>
    <xf numFmtId="166" fontId="20" fillId="13" borderId="18" xfId="13" applyFont="1" applyFill="1" applyBorder="1" applyAlignment="1" applyProtection="1">
      <alignment horizontal="center"/>
      <protection locked="0"/>
    </xf>
    <xf numFmtId="166" fontId="20" fillId="13" borderId="19" xfId="13" applyFont="1" applyFill="1" applyBorder="1" applyAlignment="1" applyProtection="1">
      <protection locked="0"/>
    </xf>
    <xf numFmtId="166" fontId="20" fillId="13" borderId="13" xfId="13" applyFont="1" applyFill="1" applyBorder="1" applyAlignment="1" applyProtection="1">
      <alignment horizontal="center"/>
      <protection locked="0"/>
    </xf>
    <xf numFmtId="44" fontId="0" fillId="0" borderId="51" xfId="0" applyNumberFormat="1" applyBorder="1"/>
    <xf numFmtId="0" fontId="0" fillId="0" borderId="54" xfId="0" applyBorder="1"/>
    <xf numFmtId="0" fontId="0" fillId="0" borderId="55" xfId="0" applyBorder="1"/>
    <xf numFmtId="0" fontId="0" fillId="0" borderId="56" xfId="0" applyBorder="1"/>
    <xf numFmtId="0" fontId="0" fillId="0" borderId="57" xfId="0" applyBorder="1"/>
    <xf numFmtId="0" fontId="0" fillId="0" borderId="58" xfId="0" applyBorder="1"/>
    <xf numFmtId="0" fontId="0" fillId="0" borderId="59" xfId="0" applyBorder="1"/>
    <xf numFmtId="0" fontId="0" fillId="0" borderId="60" xfId="0" applyBorder="1"/>
    <xf numFmtId="0" fontId="0" fillId="0" borderId="61" xfId="0" applyBorder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172" fontId="0" fillId="0" borderId="54" xfId="0" applyNumberFormat="1" applyBorder="1"/>
    <xf numFmtId="172" fontId="0" fillId="0" borderId="62" xfId="0" applyNumberFormat="1" applyBorder="1"/>
    <xf numFmtId="0" fontId="0" fillId="0" borderId="62" xfId="0" applyBorder="1" applyAlignment="1">
      <alignment horizontal="center"/>
    </xf>
    <xf numFmtId="44" fontId="0" fillId="0" borderId="55" xfId="0" applyNumberFormat="1" applyBorder="1"/>
    <xf numFmtId="44" fontId="0" fillId="0" borderId="63" xfId="0" applyNumberFormat="1" applyBorder="1"/>
    <xf numFmtId="44" fontId="0" fillId="0" borderId="64" xfId="0" applyNumberFormat="1" applyBorder="1"/>
    <xf numFmtId="44" fontId="0" fillId="0" borderId="0" xfId="0" applyNumberFormat="1"/>
    <xf numFmtId="169" fontId="20" fillId="0" borderId="0" xfId="12"/>
    <xf numFmtId="169" fontId="20" fillId="0" borderId="0" xfId="12" applyAlignment="1">
      <alignment horizontal="center" vertical="center"/>
    </xf>
    <xf numFmtId="0" fontId="0" fillId="0" borderId="65" xfId="0" applyBorder="1"/>
    <xf numFmtId="171" fontId="0" fillId="0" borderId="65" xfId="0" applyNumberFormat="1" applyBorder="1"/>
    <xf numFmtId="0" fontId="0" fillId="0" borderId="66" xfId="0" applyBorder="1" applyAlignment="1">
      <alignment horizontal="center" vertical="center"/>
    </xf>
    <xf numFmtId="0" fontId="0" fillId="0" borderId="67" xfId="0" applyBorder="1" applyAlignment="1">
      <alignment horizontal="center" vertical="center"/>
    </xf>
    <xf numFmtId="0" fontId="0" fillId="0" borderId="68" xfId="0" applyBorder="1"/>
    <xf numFmtId="0" fontId="0" fillId="0" borderId="0" xfId="0" applyAlignment="1">
      <alignment vertical="center"/>
    </xf>
    <xf numFmtId="4" fontId="21" fillId="0" borderId="0" xfId="0" applyNumberFormat="1" applyFont="1"/>
    <xf numFmtId="169" fontId="0" fillId="0" borderId="0" xfId="0" applyNumberFormat="1" applyAlignment="1">
      <alignment horizontal="center" vertical="center"/>
    </xf>
    <xf numFmtId="0" fontId="14" fillId="0" borderId="66" xfId="0" applyFont="1" applyBorder="1"/>
    <xf numFmtId="0" fontId="14" fillId="0" borderId="68" xfId="0" applyFont="1" applyBorder="1"/>
    <xf numFmtId="0" fontId="22" fillId="0" borderId="69" xfId="0" applyFont="1" applyFill="1" applyBorder="1"/>
    <xf numFmtId="0" fontId="23" fillId="0" borderId="70" xfId="0" applyFont="1" applyFill="1" applyBorder="1" applyAlignment="1">
      <alignment horizontal="center"/>
    </xf>
    <xf numFmtId="0" fontId="23" fillId="0" borderId="71" xfId="0" applyFont="1" applyFill="1" applyBorder="1" applyAlignment="1">
      <alignment horizontal="center"/>
    </xf>
    <xf numFmtId="0" fontId="23" fillId="0" borderId="72" xfId="0" applyFont="1" applyFill="1" applyBorder="1"/>
    <xf numFmtId="175" fontId="22" fillId="0" borderId="51" xfId="0" applyNumberFormat="1" applyFont="1" applyFill="1" applyBorder="1"/>
    <xf numFmtId="175" fontId="22" fillId="0" borderId="73" xfId="0" applyNumberFormat="1" applyFont="1" applyFill="1" applyBorder="1"/>
    <xf numFmtId="0" fontId="23" fillId="0" borderId="74" xfId="0" applyFont="1" applyBorder="1"/>
    <xf numFmtId="176" fontId="22" fillId="0" borderId="75" xfId="0" applyNumberFormat="1" applyFont="1" applyBorder="1"/>
    <xf numFmtId="176" fontId="22" fillId="0" borderId="76" xfId="0" applyNumberFormat="1" applyFont="1" applyBorder="1"/>
    <xf numFmtId="0" fontId="14" fillId="0" borderId="60" xfId="0" applyFont="1" applyBorder="1"/>
    <xf numFmtId="0" fontId="0" fillId="0" borderId="77" xfId="0" applyBorder="1" applyAlignment="1">
      <alignment horizontal="center" vertical="center"/>
    </xf>
    <xf numFmtId="0" fontId="14" fillId="0" borderId="78" xfId="0" applyFont="1" applyBorder="1"/>
    <xf numFmtId="0" fontId="0" fillId="0" borderId="79" xfId="0" applyBorder="1"/>
    <xf numFmtId="0" fontId="0" fillId="0" borderId="80" xfId="0" applyBorder="1"/>
    <xf numFmtId="43" fontId="0" fillId="0" borderId="0" xfId="0" applyNumberFormat="1"/>
    <xf numFmtId="0" fontId="14" fillId="0" borderId="77" xfId="0" applyFont="1" applyBorder="1"/>
    <xf numFmtId="0" fontId="0" fillId="0" borderId="78" xfId="0" applyBorder="1"/>
    <xf numFmtId="43" fontId="0" fillId="0" borderId="80" xfId="0" applyNumberFormat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51" xfId="0" applyFont="1" applyBorder="1"/>
    <xf numFmtId="0" fontId="14" fillId="0" borderId="55" xfId="0" applyFont="1" applyBorder="1"/>
    <xf numFmtId="0" fontId="14" fillId="0" borderId="63" xfId="0" applyFont="1" applyBorder="1"/>
    <xf numFmtId="0" fontId="14" fillId="0" borderId="64" xfId="0" applyFont="1" applyBorder="1"/>
    <xf numFmtId="43" fontId="0" fillId="0" borderId="0" xfId="0" applyNumberFormat="1" applyAlignment="1">
      <alignment horizontal="left" vertical="top"/>
    </xf>
    <xf numFmtId="0" fontId="0" fillId="14" borderId="8" xfId="0" applyFill="1" applyBorder="1"/>
    <xf numFmtId="0" fontId="14" fillId="14" borderId="9" xfId="0" applyFont="1" applyFill="1" applyBorder="1" applyAlignment="1">
      <alignment horizontal="center"/>
    </xf>
    <xf numFmtId="0" fontId="14" fillId="14" borderId="16" xfId="0" applyFont="1" applyFill="1" applyBorder="1" applyAlignment="1">
      <alignment horizontal="center"/>
    </xf>
    <xf numFmtId="0" fontId="14" fillId="14" borderId="17" xfId="0" applyFont="1" applyFill="1" applyBorder="1" applyAlignment="1">
      <alignment horizontal="center"/>
    </xf>
    <xf numFmtId="0" fontId="0" fillId="14" borderId="12" xfId="0" applyFont="1" applyFill="1" applyBorder="1" applyAlignment="1">
      <alignment horizontal="center"/>
    </xf>
    <xf numFmtId="0" fontId="0" fillId="14" borderId="14" xfId="0" applyFill="1" applyBorder="1"/>
    <xf numFmtId="166" fontId="20" fillId="14" borderId="15" xfId="13" applyFont="1" applyFill="1" applyBorder="1" applyAlignment="1" applyProtection="1">
      <alignment horizontal="center"/>
      <protection locked="0"/>
    </xf>
    <xf numFmtId="0" fontId="0" fillId="14" borderId="16" xfId="0" applyFont="1" applyFill="1" applyBorder="1"/>
    <xf numFmtId="166" fontId="20" fillId="14" borderId="17" xfId="13" applyFont="1" applyFill="1" applyBorder="1" applyAlignment="1" applyProtection="1">
      <alignment horizontal="center"/>
      <protection locked="0"/>
    </xf>
    <xf numFmtId="166" fontId="20" fillId="14" borderId="17" xfId="13" applyFont="1" applyFill="1" applyBorder="1" applyAlignment="1" applyProtection="1">
      <protection locked="0"/>
    </xf>
    <xf numFmtId="0" fontId="14" fillId="14" borderId="11" xfId="0" applyFont="1" applyFill="1" applyBorder="1"/>
    <xf numFmtId="166" fontId="20" fillId="14" borderId="12" xfId="13" applyFont="1" applyFill="1" applyBorder="1" applyAlignment="1" applyProtection="1">
      <alignment horizontal="center"/>
      <protection locked="0"/>
    </xf>
    <xf numFmtId="43" fontId="0" fillId="0" borderId="0" xfId="0" applyNumberFormat="1" applyAlignment="1">
      <alignment horizontal="center" vertical="center"/>
    </xf>
    <xf numFmtId="166" fontId="20" fillId="13" borderId="17" xfId="13" applyFont="1" applyFill="1" applyBorder="1" applyAlignment="1" applyProtection="1">
      <alignment horizontal="center"/>
      <protection locked="0"/>
    </xf>
    <xf numFmtId="166" fontId="20" fillId="14" borderId="17" xfId="13" applyFont="1" applyFill="1" applyBorder="1" applyAlignment="1" applyProtection="1">
      <alignment horizontal="center"/>
      <protection locked="0"/>
    </xf>
    <xf numFmtId="166" fontId="0" fillId="0" borderId="0" xfId="0" applyNumberFormat="1" applyFill="1"/>
    <xf numFmtId="177" fontId="20" fillId="0" borderId="11" xfId="12" applyNumberFormat="1" applyFill="1" applyBorder="1" applyAlignment="1" applyProtection="1">
      <alignment horizontal="center"/>
      <protection locked="0"/>
    </xf>
    <xf numFmtId="4" fontId="0" fillId="0" borderId="0" xfId="0" applyNumberFormat="1"/>
    <xf numFmtId="164" fontId="0" fillId="0" borderId="0" xfId="0" applyNumberFormat="1"/>
    <xf numFmtId="0" fontId="22" fillId="0" borderId="51" xfId="0" applyFont="1" applyBorder="1"/>
    <xf numFmtId="174" fontId="22" fillId="0" borderId="51" xfId="0" applyNumberFormat="1" applyFont="1" applyFill="1" applyBorder="1"/>
    <xf numFmtId="169" fontId="22" fillId="0" borderId="51" xfId="12" applyFont="1" applyBorder="1"/>
    <xf numFmtId="166" fontId="22" fillId="0" borderId="51" xfId="0" applyNumberFormat="1" applyFont="1" applyFill="1" applyBorder="1"/>
    <xf numFmtId="164" fontId="0" fillId="0" borderId="0" xfId="0" applyNumberFormat="1" applyAlignment="1">
      <alignment horizontal="center" vertical="center"/>
    </xf>
    <xf numFmtId="177" fontId="20" fillId="13" borderId="17" xfId="12" applyNumberFormat="1" applyFill="1" applyBorder="1" applyAlignment="1" applyProtection="1">
      <alignment horizontal="center"/>
      <protection locked="0"/>
    </xf>
    <xf numFmtId="0" fontId="24" fillId="0" borderId="0" xfId="0" applyFont="1" applyAlignment="1">
      <alignment vertical="top"/>
    </xf>
    <xf numFmtId="0" fontId="14" fillId="0" borderId="81" xfId="0" applyFont="1" applyFill="1" applyBorder="1" applyAlignment="1">
      <alignment horizontal="center"/>
    </xf>
    <xf numFmtId="0" fontId="14" fillId="0" borderId="82" xfId="0" applyFont="1" applyFill="1" applyBorder="1" applyAlignment="1">
      <alignment horizontal="center"/>
    </xf>
    <xf numFmtId="0" fontId="0" fillId="0" borderId="83" xfId="0" applyFill="1" applyBorder="1"/>
    <xf numFmtId="177" fontId="20" fillId="0" borderId="56" xfId="12" applyNumberFormat="1" applyFill="1" applyBorder="1"/>
    <xf numFmtId="0" fontId="0" fillId="0" borderId="84" xfId="0" applyFill="1" applyBorder="1"/>
    <xf numFmtId="0" fontId="0" fillId="0" borderId="85" xfId="0" applyFill="1" applyBorder="1"/>
    <xf numFmtId="0" fontId="14" fillId="0" borderId="86" xfId="0" applyFont="1" applyFill="1" applyBorder="1" applyAlignment="1">
      <alignment horizontal="center"/>
    </xf>
    <xf numFmtId="177" fontId="14" fillId="0" borderId="86" xfId="12" applyNumberFormat="1" applyFont="1" applyFill="1" applyBorder="1"/>
    <xf numFmtId="0" fontId="24" fillId="0" borderId="51" xfId="0" applyFont="1" applyBorder="1" applyAlignment="1">
      <alignment vertical="top"/>
    </xf>
    <xf numFmtId="0" fontId="0" fillId="0" borderId="51" xfId="0" applyFill="1" applyBorder="1"/>
    <xf numFmtId="0" fontId="14" fillId="0" borderId="51" xfId="0" applyFont="1" applyFill="1" applyBorder="1" applyAlignment="1">
      <alignment horizontal="center"/>
    </xf>
    <xf numFmtId="173" fontId="20" fillId="0" borderId="51" xfId="16" applyNumberFormat="1" applyFill="1" applyBorder="1"/>
    <xf numFmtId="177" fontId="20" fillId="0" borderId="51" xfId="12" applyNumberFormat="1" applyFill="1" applyBorder="1"/>
    <xf numFmtId="177" fontId="14" fillId="0" borderId="51" xfId="12" applyNumberFormat="1" applyFont="1" applyFill="1" applyBorder="1"/>
    <xf numFmtId="177" fontId="0" fillId="0" borderId="51" xfId="0" applyNumberFormat="1" applyBorder="1"/>
    <xf numFmtId="177" fontId="20" fillId="0" borderId="51" xfId="12" applyNumberFormat="1" applyBorder="1"/>
    <xf numFmtId="166" fontId="20" fillId="15" borderId="15" xfId="13" applyFont="1" applyFill="1" applyBorder="1" applyAlignment="1" applyProtection="1">
      <alignment horizontal="center"/>
      <protection locked="0"/>
    </xf>
    <xf numFmtId="166" fontId="20" fillId="15" borderId="17" xfId="13" applyFont="1" applyFill="1" applyBorder="1" applyAlignment="1" applyProtection="1">
      <alignment horizontal="center"/>
      <protection locked="0"/>
    </xf>
    <xf numFmtId="166" fontId="20" fillId="15" borderId="17" xfId="13" applyFont="1" applyFill="1" applyBorder="1" applyAlignment="1" applyProtection="1">
      <alignment horizontal="center"/>
    </xf>
    <xf numFmtId="166" fontId="20" fillId="15" borderId="38" xfId="13" applyFont="1" applyFill="1" applyBorder="1" applyAlignment="1" applyProtection="1">
      <alignment horizontal="center"/>
      <protection locked="0"/>
    </xf>
    <xf numFmtId="43" fontId="0" fillId="0" borderId="0" xfId="0" applyNumberFormat="1" applyFill="1"/>
    <xf numFmtId="0" fontId="0" fillId="14" borderId="60" xfId="0" applyFill="1" applyBorder="1" applyAlignment="1">
      <alignment horizontal="center" vertical="center"/>
    </xf>
    <xf numFmtId="0" fontId="0" fillId="14" borderId="61" xfId="0" applyFill="1" applyBorder="1" applyAlignment="1">
      <alignment horizontal="center" vertical="center"/>
    </xf>
    <xf numFmtId="0" fontId="0" fillId="14" borderId="77" xfId="0" applyFill="1" applyBorder="1" applyAlignment="1">
      <alignment horizontal="center" vertical="center"/>
    </xf>
    <xf numFmtId="0" fontId="0" fillId="0" borderId="60" xfId="0" applyBorder="1" applyAlignment="1">
      <alignment horizontal="center" vertical="center" wrapText="1"/>
    </xf>
    <xf numFmtId="0" fontId="0" fillId="0" borderId="61" xfId="0" applyBorder="1" applyAlignment="1">
      <alignment horizontal="center" vertical="center" wrapText="1"/>
    </xf>
    <xf numFmtId="0" fontId="0" fillId="0" borderId="77" xfId="0" applyBorder="1" applyAlignment="1">
      <alignment horizontal="center" vertical="center" wrapText="1"/>
    </xf>
    <xf numFmtId="0" fontId="0" fillId="0" borderId="78" xfId="0" applyBorder="1" applyAlignment="1">
      <alignment horizontal="center" vertical="center" wrapText="1"/>
    </xf>
    <xf numFmtId="0" fontId="0" fillId="0" borderId="79" xfId="0" applyBorder="1" applyAlignment="1">
      <alignment horizontal="center" vertical="center" wrapText="1"/>
    </xf>
    <xf numFmtId="0" fontId="0" fillId="0" borderId="80" xfId="0" applyBorder="1" applyAlignment="1">
      <alignment horizontal="center" vertical="center" wrapText="1"/>
    </xf>
    <xf numFmtId="0" fontId="0" fillId="11" borderId="2" xfId="0" applyFill="1" applyBorder="1" applyAlignment="1" applyProtection="1">
      <alignment horizontal="center"/>
      <protection locked="0"/>
    </xf>
    <xf numFmtId="0" fontId="15" fillId="12" borderId="39" xfId="0" applyFont="1" applyFill="1" applyBorder="1" applyAlignment="1">
      <alignment horizontal="center"/>
    </xf>
    <xf numFmtId="0" fontId="2" fillId="12" borderId="39" xfId="0" applyFont="1" applyFill="1" applyBorder="1" applyAlignment="1">
      <alignment horizontal="left" vertical="center" wrapText="1"/>
    </xf>
    <xf numFmtId="0" fontId="16" fillId="12" borderId="39" xfId="0" applyFont="1" applyFill="1" applyBorder="1" applyAlignment="1">
      <alignment horizontal="left" vertical="center" wrapText="1"/>
    </xf>
    <xf numFmtId="0" fontId="16" fillId="12" borderId="39" xfId="0" applyFont="1" applyFill="1" applyBorder="1" applyAlignment="1">
      <alignment horizontal="left" vertical="center"/>
    </xf>
    <xf numFmtId="0" fontId="5" fillId="12" borderId="39" xfId="0" applyFont="1" applyFill="1" applyBorder="1" applyAlignment="1">
      <alignment horizontal="left" vertical="center" wrapText="1"/>
    </xf>
    <xf numFmtId="0" fontId="14" fillId="0" borderId="9" xfId="0" applyFont="1" applyFill="1" applyBorder="1" applyAlignment="1">
      <alignment horizontal="center"/>
    </xf>
    <xf numFmtId="0" fontId="14" fillId="0" borderId="10" xfId="0" applyFont="1" applyFill="1" applyBorder="1" applyAlignment="1">
      <alignment horizontal="center"/>
    </xf>
    <xf numFmtId="0" fontId="14" fillId="0" borderId="87" xfId="0" applyFont="1" applyFill="1" applyBorder="1" applyAlignment="1">
      <alignment horizontal="center" wrapText="1"/>
    </xf>
    <xf numFmtId="0" fontId="14" fillId="0" borderId="52" xfId="0" applyFont="1" applyFill="1" applyBorder="1" applyAlignment="1">
      <alignment horizontal="center" wrapText="1"/>
    </xf>
    <xf numFmtId="0" fontId="16" fillId="12" borderId="39" xfId="0" applyFont="1" applyFill="1" applyBorder="1" applyAlignment="1" applyProtection="1">
      <alignment horizontal="center" vertical="center"/>
    </xf>
    <xf numFmtId="0" fontId="14" fillId="0" borderId="17" xfId="0" applyFont="1" applyFill="1" applyBorder="1" applyAlignment="1">
      <alignment horizontal="center"/>
    </xf>
    <xf numFmtId="0" fontId="14" fillId="0" borderId="19" xfId="0" applyFont="1" applyFill="1" applyBorder="1" applyAlignment="1">
      <alignment horizontal="center"/>
    </xf>
    <xf numFmtId="0" fontId="16" fillId="12" borderId="39" xfId="0" applyFont="1" applyFill="1" applyBorder="1" applyAlignment="1" applyProtection="1">
      <alignment horizontal="center"/>
    </xf>
    <xf numFmtId="0" fontId="25" fillId="0" borderId="66" xfId="0" applyFont="1" applyFill="1" applyBorder="1" applyAlignment="1">
      <alignment horizontal="center"/>
    </xf>
    <xf numFmtId="0" fontId="25" fillId="0" borderId="67" xfId="0" applyFont="1" applyFill="1" applyBorder="1" applyAlignment="1">
      <alignment horizontal="center"/>
    </xf>
    <xf numFmtId="0" fontId="25" fillId="0" borderId="68" xfId="0" applyFont="1" applyFill="1" applyBorder="1" applyAlignment="1">
      <alignment horizontal="center"/>
    </xf>
    <xf numFmtId="0" fontId="26" fillId="0" borderId="88" xfId="0" applyFont="1" applyFill="1" applyBorder="1" applyAlignment="1">
      <alignment horizontal="center"/>
    </xf>
    <xf numFmtId="0" fontId="26" fillId="0" borderId="57" xfId="0" applyFont="1" applyFill="1" applyBorder="1" applyAlignment="1">
      <alignment horizontal="center"/>
    </xf>
    <xf numFmtId="0" fontId="26" fillId="0" borderId="89" xfId="0" applyFont="1" applyFill="1" applyBorder="1" applyAlignment="1">
      <alignment horizontal="center"/>
    </xf>
    <xf numFmtId="0" fontId="0" fillId="0" borderId="72" xfId="0" applyFill="1" applyBorder="1" applyAlignment="1">
      <alignment horizontal="right"/>
    </xf>
    <xf numFmtId="0" fontId="0" fillId="0" borderId="73" xfId="0" applyFill="1" applyBorder="1"/>
    <xf numFmtId="177" fontId="20" fillId="0" borderId="72" xfId="12" applyNumberFormat="1" applyFill="1" applyBorder="1"/>
    <xf numFmtId="177" fontId="20" fillId="0" borderId="73" xfId="12" applyNumberFormat="1" applyFill="1" applyBorder="1"/>
    <xf numFmtId="177" fontId="20" fillId="0" borderId="90" xfId="12" applyNumberFormat="1" applyFill="1" applyBorder="1"/>
    <xf numFmtId="177" fontId="20" fillId="0" borderId="63" xfId="12" applyNumberFormat="1" applyFill="1" applyBorder="1"/>
    <xf numFmtId="0" fontId="14" fillId="0" borderId="66" xfId="0" applyFont="1" applyFill="1" applyBorder="1" applyAlignment="1">
      <alignment horizontal="right"/>
    </xf>
    <xf numFmtId="177" fontId="0" fillId="0" borderId="51" xfId="0" applyNumberFormat="1" applyFill="1" applyBorder="1"/>
    <xf numFmtId="177" fontId="0" fillId="0" borderId="73" xfId="0" applyNumberFormat="1" applyFill="1" applyBorder="1"/>
    <xf numFmtId="0" fontId="14" fillId="0" borderId="68" xfId="0" applyFont="1" applyFill="1" applyBorder="1" applyAlignment="1">
      <alignment vertical="center"/>
    </xf>
    <xf numFmtId="0" fontId="0" fillId="0" borderId="72" xfId="0" applyFill="1" applyBorder="1" applyAlignment="1">
      <alignment horizontal="center" vertical="center"/>
    </xf>
    <xf numFmtId="177" fontId="20" fillId="0" borderId="72" xfId="12" applyNumberFormat="1" applyFill="1" applyBorder="1" applyAlignment="1">
      <alignment horizontal="right"/>
    </xf>
    <xf numFmtId="177" fontId="20" fillId="0" borderId="90" xfId="12" applyNumberFormat="1" applyFill="1" applyBorder="1" applyAlignment="1">
      <alignment horizontal="right"/>
    </xf>
    <xf numFmtId="177" fontId="20" fillId="0" borderId="51" xfId="12" applyNumberFormat="1" applyFill="1" applyBorder="1" applyAlignment="1">
      <alignment horizontal="center" vertical="center"/>
    </xf>
    <xf numFmtId="0" fontId="14" fillId="0" borderId="66" xfId="0" applyFont="1" applyFill="1" applyBorder="1" applyAlignment="1">
      <alignment vertical="center"/>
    </xf>
    <xf numFmtId="177" fontId="20" fillId="0" borderId="63" xfId="12" applyNumberFormat="1" applyFill="1" applyBorder="1" applyAlignment="1">
      <alignment horizontal="center" vertical="center"/>
    </xf>
    <xf numFmtId="169" fontId="20" fillId="0" borderId="66" xfId="12" applyFill="1" applyBorder="1" applyAlignment="1">
      <alignment horizontal="center"/>
    </xf>
    <xf numFmtId="169" fontId="20" fillId="0" borderId="68" xfId="12" applyFill="1" applyBorder="1" applyAlignment="1">
      <alignment horizontal="center"/>
    </xf>
    <xf numFmtId="0" fontId="14" fillId="0" borderId="78" xfId="0" applyFont="1" applyFill="1" applyBorder="1" applyAlignment="1">
      <alignment vertical="center"/>
    </xf>
    <xf numFmtId="0" fontId="14" fillId="0" borderId="79" xfId="0" applyFont="1" applyFill="1" applyBorder="1" applyAlignment="1">
      <alignment vertical="center"/>
    </xf>
    <xf numFmtId="0" fontId="14" fillId="0" borderId="80" xfId="0" applyFont="1" applyFill="1" applyBorder="1" applyAlignment="1">
      <alignment vertical="center"/>
    </xf>
    <xf numFmtId="177" fontId="0" fillId="0" borderId="63" xfId="0" applyNumberFormat="1" applyFill="1" applyBorder="1"/>
    <xf numFmtId="169" fontId="20" fillId="0" borderId="91" xfId="12" applyFill="1" applyBorder="1"/>
  </cellXfs>
  <cellStyles count="22">
    <cellStyle name="Accent 1 1" xfId="1"/>
    <cellStyle name="Accent 2 1" xfId="2"/>
    <cellStyle name="Accent 3 1" xfId="3"/>
    <cellStyle name="Accent 4" xfId="4"/>
    <cellStyle name="Bad 1" xfId="5"/>
    <cellStyle name="Error 1" xfId="6"/>
    <cellStyle name="Footnote 1" xfId="7"/>
    <cellStyle name="Good 1" xfId="8"/>
    <cellStyle name="Heading 1 1" xfId="9"/>
    <cellStyle name="Heading 2 1" xfId="10"/>
    <cellStyle name="Heading 3" xfId="11"/>
    <cellStyle name="Millares" xfId="12" builtinId="3"/>
    <cellStyle name="Moneda" xfId="13" builtinId="4"/>
    <cellStyle name="Neutral 1" xfId="14"/>
    <cellStyle name="Normal" xfId="0" builtinId="0"/>
    <cellStyle name="Note 1" xfId="15"/>
    <cellStyle name="Porcentaje" xfId="16" builtinId="5"/>
    <cellStyle name="Sin título1" xfId="17"/>
    <cellStyle name="Sin título2" xfId="18"/>
    <cellStyle name="Status 1" xfId="19"/>
    <cellStyle name="Text 1" xfId="20"/>
    <cellStyle name="Warning 1" xfId="21"/>
  </cellStyles>
  <dxfs count="100">
    <dxf>
      <font>
        <b/>
        <i val="0"/>
        <condense val="0"/>
        <extend val="0"/>
        <color indexed="9"/>
      </font>
      <fill>
        <patternFill patternType="solid">
          <fgColor indexed="16"/>
          <bgColor indexed="10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23"/>
          <bgColor indexed="57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16"/>
          <bgColor indexed="10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23"/>
          <bgColor indexed="57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16"/>
          <bgColor indexed="10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23"/>
          <bgColor indexed="57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16"/>
          <bgColor indexed="10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23"/>
          <bgColor indexed="57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16"/>
          <bgColor indexed="10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23"/>
          <bgColor indexed="57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16"/>
          <bgColor indexed="10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23"/>
          <bgColor indexed="57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16"/>
          <bgColor indexed="10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23"/>
          <bgColor indexed="57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16"/>
          <bgColor indexed="10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23"/>
          <bgColor indexed="57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16"/>
          <bgColor indexed="10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23"/>
          <bgColor indexed="57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16"/>
          <bgColor indexed="10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23"/>
          <bgColor indexed="57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16"/>
          <bgColor indexed="10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23"/>
          <bgColor indexed="57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16"/>
          <bgColor indexed="10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23"/>
          <bgColor indexed="57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16"/>
          <bgColor indexed="10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23"/>
          <bgColor indexed="57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16"/>
          <bgColor indexed="10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23"/>
          <bgColor indexed="57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16"/>
          <bgColor indexed="10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23"/>
          <bgColor indexed="57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16"/>
          <bgColor indexed="10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23"/>
          <bgColor indexed="57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16"/>
          <bgColor indexed="10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23"/>
          <bgColor indexed="57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16"/>
          <bgColor indexed="10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23"/>
          <bgColor indexed="57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16"/>
          <bgColor indexed="10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23"/>
          <bgColor indexed="57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16"/>
          <bgColor indexed="10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23"/>
          <bgColor indexed="57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16"/>
          <bgColor indexed="10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23"/>
          <bgColor indexed="57"/>
        </patternFill>
      </fill>
    </dxf>
    <dxf>
      <numFmt numFmtId="0" formatCode="General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numFmt numFmtId="35" formatCode="_-* #,##0.00_-;\-* #,##0.00_-;_-* &quot;-&quot;??_-;_-@_-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numFmt numFmtId="169" formatCode="_(* #,##0.00_);_(* \(#,##0.00\);_(* \-??_);_(@_)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52525"/>
        <name val="Arial"/>
        <scheme val="none"/>
      </font>
      <numFmt numFmtId="4" formatCode="#,##0.0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border outline="0">
        <top style="medium">
          <color indexed="64"/>
        </top>
      </border>
    </dxf>
    <dxf>
      <alignment horizontal="center" vertical="center" textRotation="0" wrapText="0" indent="0" justifyLastLine="0" shrinkToFit="0" readingOrder="0"/>
    </dxf>
    <dxf>
      <numFmt numFmtId="0" formatCode="General"/>
    </dxf>
    <dxf>
      <numFmt numFmtId="35" formatCode="_-* #,##0.00_-;\-* #,##0.00_-;_-* &quot;-&quot;??_-;_-@_-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171" formatCode="&quot;$&quot;#,##0"/>
    </dxf>
    <dxf>
      <numFmt numFmtId="171" formatCode="&quot;$&quot;#,##0"/>
    </dxf>
    <dxf>
      <numFmt numFmtId="171" formatCode="&quot;$&quot;#,##0"/>
    </dxf>
    <dxf>
      <numFmt numFmtId="34" formatCode="_-&quot;$&quot;* #,##0.00_-;\-&quot;$&quot;* #,##0.00_-;_-&quot;$&quot;* &quot;-&quot;??_-;_-@_-"/>
    </dxf>
    <dxf>
      <numFmt numFmtId="172" formatCode="&quot;$&quot;#,##0.00"/>
    </dxf>
    <dxf>
      <numFmt numFmtId="172" formatCode="&quot;$&quot;#,##0.00"/>
    </dxf>
    <dxf>
      <alignment horizontal="center" vertical="bottom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34" formatCode="_-&quot;$&quot;* #,##0.00_-;\-&quot;$&quot;* #,##0.00_-;_-&quot;$&quot;* &quot;-&quot;??_-;_-@_-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numFmt numFmtId="34" formatCode="_-&quot;$&quot;* #,##0.00_-;\-&quot;$&quot;* #,##0.00_-;_-&quot;$&quot;* &quot;-&quot;??_-;_-@_-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34" formatCode="_-&quot;$&quot;* #,##0.00_-;\-&quot;$&quot;* #,##0.00_-;_-&quot;$&quot;* &quot;-&quot;??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34" formatCode="_-&quot;$&quot;* #,##0.00_-;\-&quot;$&quot;* #,##0.00_-;_-&quot;$&quot;* &quot;-&quot;??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ED1C24"/>
      <rgbColor rgb="0000FF00"/>
      <rgbColor rgb="000000FF"/>
      <rgbColor rgb="00FFFF00"/>
      <rgbColor rgb="00FF00FF"/>
      <rgbColor rgb="0000FFFF"/>
      <rgbColor rgb="00CC0000"/>
      <rgbColor rgb="00006600"/>
      <rgbColor rgb="00000080"/>
      <rgbColor rgb="009966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DDDDD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CC"/>
      <rgbColor rgb="003366FF"/>
      <rgbColor rgb="0033CCCC"/>
      <rgbColor rgb="0099CC00"/>
      <rgbColor rgb="00FFCC00"/>
      <rgbColor rgb="00FF9900"/>
      <rgbColor rgb="00FF420E"/>
      <rgbColor rgb="00666699"/>
      <rgbColor rgb="00969696"/>
      <rgbColor rgb="00003366"/>
      <rgbColor rgb="0062A73B"/>
      <rgbColor rgb="00003300"/>
      <rgbColor rgb="003C3C3C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A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AR"/>
              <a:t>Diagrama</a:t>
            </a:r>
            <a:r>
              <a:rPr lang="es-AR" baseline="0"/>
              <a:t> de punto de equilibrio año 1</a:t>
            </a:r>
            <a:endParaRPr lang="es-AR"/>
          </a:p>
        </c:rich>
      </c:tx>
      <c:layout/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'E-Costos'!$B$141</c:f>
              <c:strCache>
                <c:ptCount val="1"/>
                <c:pt idx="0">
                  <c:v>Costo Fijo</c:v>
                </c:pt>
              </c:strCache>
            </c:strRef>
          </c:tx>
          <c:marker>
            <c:symbol val="none"/>
          </c:marker>
          <c:xVal>
            <c:numRef>
              <c:f>'E-Costos'!$A$142:$A$158</c:f>
              <c:numCache>
                <c:formatCode>_(* #,##0_);_(* \(#,##0\);_(* \-??_);_(@_)</c:formatCode>
                <c:ptCount val="17"/>
                <c:pt idx="0" formatCode="General">
                  <c:v>0</c:v>
                </c:pt>
                <c:pt idx="1">
                  <c:v>1100000</c:v>
                </c:pt>
                <c:pt idx="2">
                  <c:v>1200000</c:v>
                </c:pt>
                <c:pt idx="3">
                  <c:v>1300000</c:v>
                </c:pt>
                <c:pt idx="4">
                  <c:v>1400000</c:v>
                </c:pt>
                <c:pt idx="5">
                  <c:v>1500000</c:v>
                </c:pt>
                <c:pt idx="6">
                  <c:v>1600000</c:v>
                </c:pt>
                <c:pt idx="7">
                  <c:v>1700000</c:v>
                </c:pt>
                <c:pt idx="8">
                  <c:v>1800000</c:v>
                </c:pt>
                <c:pt idx="9">
                  <c:v>1900000</c:v>
                </c:pt>
                <c:pt idx="10">
                  <c:v>2000000</c:v>
                </c:pt>
                <c:pt idx="11">
                  <c:v>2100000</c:v>
                </c:pt>
                <c:pt idx="12">
                  <c:v>2200000</c:v>
                </c:pt>
                <c:pt idx="13">
                  <c:v>2300000</c:v>
                </c:pt>
                <c:pt idx="14">
                  <c:v>2400000</c:v>
                </c:pt>
                <c:pt idx="15">
                  <c:v>2500000</c:v>
                </c:pt>
                <c:pt idx="16">
                  <c:v>2600000</c:v>
                </c:pt>
              </c:numCache>
            </c:numRef>
          </c:xVal>
          <c:yVal>
            <c:numRef>
              <c:f>'E-Costos'!$B$142:$B$158</c:f>
              <c:numCache>
                <c:formatCode>_(* #,##0_);_(* \(#,##0\);_(* \-??_);_(@_)</c:formatCode>
                <c:ptCount val="17"/>
                <c:pt idx="0">
                  <c:v>1339189.01027443</c:v>
                </c:pt>
                <c:pt idx="1">
                  <c:v>1339189.01027443</c:v>
                </c:pt>
                <c:pt idx="2">
                  <c:v>1339189.01027443</c:v>
                </c:pt>
                <c:pt idx="3">
                  <c:v>1339189.01027443</c:v>
                </c:pt>
                <c:pt idx="4">
                  <c:v>1339189.01027443</c:v>
                </c:pt>
                <c:pt idx="5">
                  <c:v>1339189.01027443</c:v>
                </c:pt>
                <c:pt idx="6">
                  <c:v>1339189.01027443</c:v>
                </c:pt>
                <c:pt idx="7">
                  <c:v>1339189.01027443</c:v>
                </c:pt>
                <c:pt idx="8">
                  <c:v>1339189.01027443</c:v>
                </c:pt>
                <c:pt idx="9">
                  <c:v>1339189.01027443</c:v>
                </c:pt>
                <c:pt idx="10">
                  <c:v>1339189.01027443</c:v>
                </c:pt>
                <c:pt idx="11">
                  <c:v>1339189.01027443</c:v>
                </c:pt>
                <c:pt idx="12">
                  <c:v>1339189.01027443</c:v>
                </c:pt>
                <c:pt idx="13">
                  <c:v>1339189.01027443</c:v>
                </c:pt>
                <c:pt idx="14">
                  <c:v>1339189.01027443</c:v>
                </c:pt>
                <c:pt idx="15">
                  <c:v>1339189.01027443</c:v>
                </c:pt>
                <c:pt idx="16">
                  <c:v>1339189.01027443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'E-Costos'!$C$141</c:f>
              <c:strCache>
                <c:ptCount val="1"/>
                <c:pt idx="0">
                  <c:v>Costo Variable</c:v>
                </c:pt>
              </c:strCache>
            </c:strRef>
          </c:tx>
          <c:marker>
            <c:symbol val="none"/>
          </c:marker>
          <c:xVal>
            <c:numRef>
              <c:f>'E-Costos'!$A$142:$A$158</c:f>
              <c:numCache>
                <c:formatCode>_(* #,##0_);_(* \(#,##0\);_(* \-??_);_(@_)</c:formatCode>
                <c:ptCount val="17"/>
                <c:pt idx="0" formatCode="General">
                  <c:v>0</c:v>
                </c:pt>
                <c:pt idx="1">
                  <c:v>1100000</c:v>
                </c:pt>
                <c:pt idx="2">
                  <c:v>1200000</c:v>
                </c:pt>
                <c:pt idx="3">
                  <c:v>1300000</c:v>
                </c:pt>
                <c:pt idx="4">
                  <c:v>1400000</c:v>
                </c:pt>
                <c:pt idx="5">
                  <c:v>1500000</c:v>
                </c:pt>
                <c:pt idx="6">
                  <c:v>1600000</c:v>
                </c:pt>
                <c:pt idx="7">
                  <c:v>1700000</c:v>
                </c:pt>
                <c:pt idx="8">
                  <c:v>1800000</c:v>
                </c:pt>
                <c:pt idx="9">
                  <c:v>1900000</c:v>
                </c:pt>
                <c:pt idx="10">
                  <c:v>2000000</c:v>
                </c:pt>
                <c:pt idx="11">
                  <c:v>2100000</c:v>
                </c:pt>
                <c:pt idx="12">
                  <c:v>2200000</c:v>
                </c:pt>
                <c:pt idx="13">
                  <c:v>2300000</c:v>
                </c:pt>
                <c:pt idx="14">
                  <c:v>2400000</c:v>
                </c:pt>
                <c:pt idx="15">
                  <c:v>2500000</c:v>
                </c:pt>
                <c:pt idx="16">
                  <c:v>2600000</c:v>
                </c:pt>
              </c:numCache>
            </c:numRef>
          </c:xVal>
          <c:yVal>
            <c:numRef>
              <c:f>'E-Costos'!$C$142:$C$158</c:f>
              <c:numCache>
                <c:formatCode>_(* #,##0_);_(* \(#,##0\);_(* \-??_);_(@_)</c:formatCode>
                <c:ptCount val="17"/>
                <c:pt idx="0" formatCode="General">
                  <c:v>0</c:v>
                </c:pt>
                <c:pt idx="1">
                  <c:v>1135689.0220785104</c:v>
                </c:pt>
                <c:pt idx="2">
                  <c:v>1238933.4786311022</c:v>
                </c:pt>
                <c:pt idx="3">
                  <c:v>1342177.9351836939</c:v>
                </c:pt>
                <c:pt idx="4">
                  <c:v>1445422.3917362858</c:v>
                </c:pt>
                <c:pt idx="5">
                  <c:v>1548666.8482888776</c:v>
                </c:pt>
                <c:pt idx="6">
                  <c:v>1651911.3048414695</c:v>
                </c:pt>
                <c:pt idx="7">
                  <c:v>1755155.7613940614</c:v>
                </c:pt>
                <c:pt idx="8">
                  <c:v>1858400.2179466533</c:v>
                </c:pt>
                <c:pt idx="9">
                  <c:v>1961644.6744992451</c:v>
                </c:pt>
                <c:pt idx="10">
                  <c:v>2064889.131051837</c:v>
                </c:pt>
                <c:pt idx="11">
                  <c:v>2168133.5876044286</c:v>
                </c:pt>
                <c:pt idx="12">
                  <c:v>2271378.0441570207</c:v>
                </c:pt>
                <c:pt idx="13">
                  <c:v>2374622.5007096124</c:v>
                </c:pt>
                <c:pt idx="14">
                  <c:v>2477866.9572622045</c:v>
                </c:pt>
                <c:pt idx="15">
                  <c:v>2581111.4138147961</c:v>
                </c:pt>
                <c:pt idx="16">
                  <c:v>2684355.8703673878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'E-Costos'!$D$141</c:f>
              <c:strCache>
                <c:ptCount val="1"/>
                <c:pt idx="0">
                  <c:v>Costo Total</c:v>
                </c:pt>
              </c:strCache>
            </c:strRef>
          </c:tx>
          <c:marker>
            <c:symbol val="none"/>
          </c:marker>
          <c:xVal>
            <c:numRef>
              <c:f>'E-Costos'!$A$142:$A$158</c:f>
              <c:numCache>
                <c:formatCode>_(* #,##0_);_(* \(#,##0\);_(* \-??_);_(@_)</c:formatCode>
                <c:ptCount val="17"/>
                <c:pt idx="0" formatCode="General">
                  <c:v>0</c:v>
                </c:pt>
                <c:pt idx="1">
                  <c:v>1100000</c:v>
                </c:pt>
                <c:pt idx="2">
                  <c:v>1200000</c:v>
                </c:pt>
                <c:pt idx="3">
                  <c:v>1300000</c:v>
                </c:pt>
                <c:pt idx="4">
                  <c:v>1400000</c:v>
                </c:pt>
                <c:pt idx="5">
                  <c:v>1500000</c:v>
                </c:pt>
                <c:pt idx="6">
                  <c:v>1600000</c:v>
                </c:pt>
                <c:pt idx="7">
                  <c:v>1700000</c:v>
                </c:pt>
                <c:pt idx="8">
                  <c:v>1800000</c:v>
                </c:pt>
                <c:pt idx="9">
                  <c:v>1900000</c:v>
                </c:pt>
                <c:pt idx="10">
                  <c:v>2000000</c:v>
                </c:pt>
                <c:pt idx="11">
                  <c:v>2100000</c:v>
                </c:pt>
                <c:pt idx="12">
                  <c:v>2200000</c:v>
                </c:pt>
                <c:pt idx="13">
                  <c:v>2300000</c:v>
                </c:pt>
                <c:pt idx="14">
                  <c:v>2400000</c:v>
                </c:pt>
                <c:pt idx="15">
                  <c:v>2500000</c:v>
                </c:pt>
                <c:pt idx="16">
                  <c:v>2600000</c:v>
                </c:pt>
              </c:numCache>
            </c:numRef>
          </c:xVal>
          <c:yVal>
            <c:numRef>
              <c:f>'E-Costos'!$D$142:$D$158</c:f>
              <c:numCache>
                <c:formatCode>_(* #,##0_);_(* \(#,##0\);_(* \-??_);_(@_)</c:formatCode>
                <c:ptCount val="17"/>
                <c:pt idx="0">
                  <c:v>1339189.01027443</c:v>
                </c:pt>
                <c:pt idx="1">
                  <c:v>2474878.0323529402</c:v>
                </c:pt>
                <c:pt idx="2">
                  <c:v>2578122.4889055323</c:v>
                </c:pt>
                <c:pt idx="3">
                  <c:v>2681366.9454581239</c:v>
                </c:pt>
                <c:pt idx="4">
                  <c:v>2784611.4020107156</c:v>
                </c:pt>
                <c:pt idx="5">
                  <c:v>2887855.8585633077</c:v>
                </c:pt>
                <c:pt idx="6">
                  <c:v>2991100.3151158998</c:v>
                </c:pt>
                <c:pt idx="7">
                  <c:v>3094344.7716684914</c:v>
                </c:pt>
                <c:pt idx="8">
                  <c:v>3197589.2282210831</c:v>
                </c:pt>
                <c:pt idx="9">
                  <c:v>3300833.6847736752</c:v>
                </c:pt>
                <c:pt idx="10">
                  <c:v>3404078.1413262673</c:v>
                </c:pt>
                <c:pt idx="11">
                  <c:v>3507322.5978788584</c:v>
                </c:pt>
                <c:pt idx="12">
                  <c:v>3610567.0544314506</c:v>
                </c:pt>
                <c:pt idx="13">
                  <c:v>3713811.5109840427</c:v>
                </c:pt>
                <c:pt idx="14">
                  <c:v>3817055.9675366348</c:v>
                </c:pt>
                <c:pt idx="15">
                  <c:v>3920300.4240892259</c:v>
                </c:pt>
                <c:pt idx="16">
                  <c:v>4023544.880641818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'E-Costos'!$E$141</c:f>
              <c:strCache>
                <c:ptCount val="1"/>
                <c:pt idx="0">
                  <c:v>Ventas</c:v>
                </c:pt>
              </c:strCache>
            </c:strRef>
          </c:tx>
          <c:marker>
            <c:symbol val="none"/>
          </c:marker>
          <c:xVal>
            <c:numRef>
              <c:f>'E-Costos'!$A$142:$A$158</c:f>
              <c:numCache>
                <c:formatCode>_(* #,##0_);_(* \(#,##0\);_(* \-??_);_(@_)</c:formatCode>
                <c:ptCount val="17"/>
                <c:pt idx="0" formatCode="General">
                  <c:v>0</c:v>
                </c:pt>
                <c:pt idx="1">
                  <c:v>1100000</c:v>
                </c:pt>
                <c:pt idx="2">
                  <c:v>1200000</c:v>
                </c:pt>
                <c:pt idx="3">
                  <c:v>1300000</c:v>
                </c:pt>
                <c:pt idx="4">
                  <c:v>1400000</c:v>
                </c:pt>
                <c:pt idx="5">
                  <c:v>1500000</c:v>
                </c:pt>
                <c:pt idx="6">
                  <c:v>1600000</c:v>
                </c:pt>
                <c:pt idx="7">
                  <c:v>1700000</c:v>
                </c:pt>
                <c:pt idx="8">
                  <c:v>1800000</c:v>
                </c:pt>
                <c:pt idx="9">
                  <c:v>1900000</c:v>
                </c:pt>
                <c:pt idx="10">
                  <c:v>2000000</c:v>
                </c:pt>
                <c:pt idx="11">
                  <c:v>2100000</c:v>
                </c:pt>
                <c:pt idx="12">
                  <c:v>2200000</c:v>
                </c:pt>
                <c:pt idx="13">
                  <c:v>2300000</c:v>
                </c:pt>
                <c:pt idx="14">
                  <c:v>2400000</c:v>
                </c:pt>
                <c:pt idx="15">
                  <c:v>2500000</c:v>
                </c:pt>
                <c:pt idx="16">
                  <c:v>2600000</c:v>
                </c:pt>
              </c:numCache>
            </c:numRef>
          </c:xVal>
          <c:yVal>
            <c:numRef>
              <c:f>'E-Costos'!$E$142:$E$158</c:f>
              <c:numCache>
                <c:formatCode>_(* #,##0_);_(* \(#,##0\);_(* \-??_);_(@_)</c:formatCode>
                <c:ptCount val="17"/>
                <c:pt idx="0" formatCode="General">
                  <c:v>0</c:v>
                </c:pt>
                <c:pt idx="1">
                  <c:v>5500000</c:v>
                </c:pt>
                <c:pt idx="2">
                  <c:v>6000000</c:v>
                </c:pt>
                <c:pt idx="3">
                  <c:v>6500000</c:v>
                </c:pt>
                <c:pt idx="4">
                  <c:v>7000000</c:v>
                </c:pt>
                <c:pt idx="5">
                  <c:v>7500000</c:v>
                </c:pt>
                <c:pt idx="6">
                  <c:v>8000000</c:v>
                </c:pt>
                <c:pt idx="7">
                  <c:v>8500000</c:v>
                </c:pt>
                <c:pt idx="8">
                  <c:v>9000000</c:v>
                </c:pt>
                <c:pt idx="9">
                  <c:v>9500000</c:v>
                </c:pt>
                <c:pt idx="10">
                  <c:v>10000000</c:v>
                </c:pt>
                <c:pt idx="11">
                  <c:v>10500000</c:v>
                </c:pt>
                <c:pt idx="12">
                  <c:v>11000000</c:v>
                </c:pt>
                <c:pt idx="13">
                  <c:v>11500000</c:v>
                </c:pt>
                <c:pt idx="14">
                  <c:v>12000000</c:v>
                </c:pt>
                <c:pt idx="15">
                  <c:v>12500000</c:v>
                </c:pt>
                <c:pt idx="16">
                  <c:v>13000000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1196288"/>
        <c:axId val="208570240"/>
      </c:scatterChart>
      <c:valAx>
        <c:axId val="2211962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08570240"/>
        <c:crosses val="autoZero"/>
        <c:crossBetween val="midCat"/>
      </c:valAx>
      <c:valAx>
        <c:axId val="208570240"/>
        <c:scaling>
          <c:orientation val="minMax"/>
        </c:scaling>
        <c:delete val="0"/>
        <c:axPos val="l"/>
        <c:majorGridlines/>
        <c:numFmt formatCode="_(* #,##0_);_(* \(#,##0\);_(* \-??_);_(@_)" sourceLinked="1"/>
        <c:majorTickMark val="out"/>
        <c:minorTickMark val="none"/>
        <c:tickLblPos val="nextTo"/>
        <c:crossAx val="221196288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A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AR"/>
              <a:t>Diagrama</a:t>
            </a:r>
            <a:r>
              <a:rPr lang="es-AR" baseline="0"/>
              <a:t> de punto de equilibrio año 5</a:t>
            </a:r>
            <a:endParaRPr lang="es-AR"/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'E-Costos'!$B$162</c:f>
              <c:strCache>
                <c:ptCount val="1"/>
                <c:pt idx="0">
                  <c:v>Costo Fijo</c:v>
                </c:pt>
              </c:strCache>
            </c:strRef>
          </c:tx>
          <c:marker>
            <c:symbol val="none"/>
          </c:marker>
          <c:xVal>
            <c:numRef>
              <c:f>'E-Costos'!$A$163:$A$179</c:f>
              <c:numCache>
                <c:formatCode>_(* #,##0_);_(* \(#,##0\);_(* \-??_);_(@_)</c:formatCode>
                <c:ptCount val="17"/>
                <c:pt idx="0" formatCode="General">
                  <c:v>0</c:v>
                </c:pt>
                <c:pt idx="1">
                  <c:v>1100000</c:v>
                </c:pt>
                <c:pt idx="2">
                  <c:v>1200000</c:v>
                </c:pt>
                <c:pt idx="3">
                  <c:v>1300000</c:v>
                </c:pt>
                <c:pt idx="4">
                  <c:v>1400000</c:v>
                </c:pt>
                <c:pt idx="5">
                  <c:v>1500000</c:v>
                </c:pt>
                <c:pt idx="6">
                  <c:v>1600000</c:v>
                </c:pt>
                <c:pt idx="7">
                  <c:v>1700000</c:v>
                </c:pt>
                <c:pt idx="8">
                  <c:v>1800000</c:v>
                </c:pt>
                <c:pt idx="9">
                  <c:v>1900000</c:v>
                </c:pt>
                <c:pt idx="10">
                  <c:v>2000000</c:v>
                </c:pt>
                <c:pt idx="11">
                  <c:v>2100000</c:v>
                </c:pt>
                <c:pt idx="12">
                  <c:v>2200000</c:v>
                </c:pt>
                <c:pt idx="13">
                  <c:v>2300000</c:v>
                </c:pt>
                <c:pt idx="14">
                  <c:v>2400000</c:v>
                </c:pt>
                <c:pt idx="15">
                  <c:v>2500000</c:v>
                </c:pt>
                <c:pt idx="16">
                  <c:v>2600000</c:v>
                </c:pt>
              </c:numCache>
            </c:numRef>
          </c:xVal>
          <c:yVal>
            <c:numRef>
              <c:f>'E-Costos'!$B$163:$B$179</c:f>
              <c:numCache>
                <c:formatCode>_(* #,##0_);_(* \(#,##0\);_(* \-??_);_(@_)</c:formatCode>
                <c:ptCount val="17"/>
                <c:pt idx="0">
                  <c:v>1354718.8093569633</c:v>
                </c:pt>
                <c:pt idx="1">
                  <c:v>1354718.8093569633</c:v>
                </c:pt>
                <c:pt idx="2">
                  <c:v>1354718.8093569633</c:v>
                </c:pt>
                <c:pt idx="3">
                  <c:v>1354718.8093569633</c:v>
                </c:pt>
                <c:pt idx="4">
                  <c:v>1354718.8093569633</c:v>
                </c:pt>
                <c:pt idx="5">
                  <c:v>1354718.8093569633</c:v>
                </c:pt>
                <c:pt idx="6">
                  <c:v>1354718.8093569633</c:v>
                </c:pt>
                <c:pt idx="7">
                  <c:v>1354718.8093569633</c:v>
                </c:pt>
                <c:pt idx="8">
                  <c:v>1354718.8093569633</c:v>
                </c:pt>
                <c:pt idx="9">
                  <c:v>1354718.8093569633</c:v>
                </c:pt>
                <c:pt idx="10">
                  <c:v>1354718.8093569633</c:v>
                </c:pt>
                <c:pt idx="11">
                  <c:v>1354718.8093569633</c:v>
                </c:pt>
                <c:pt idx="12">
                  <c:v>1354718.8093569633</c:v>
                </c:pt>
                <c:pt idx="13">
                  <c:v>1354718.8093569633</c:v>
                </c:pt>
                <c:pt idx="14">
                  <c:v>1354718.8093569633</c:v>
                </c:pt>
                <c:pt idx="15">
                  <c:v>1354718.8093569633</c:v>
                </c:pt>
                <c:pt idx="16">
                  <c:v>1354718.8093569633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'E-Costos'!$C$162</c:f>
              <c:strCache>
                <c:ptCount val="1"/>
                <c:pt idx="0">
                  <c:v>Costo Variable</c:v>
                </c:pt>
              </c:strCache>
            </c:strRef>
          </c:tx>
          <c:marker>
            <c:symbol val="none"/>
          </c:marker>
          <c:xVal>
            <c:numRef>
              <c:f>'E-Costos'!$A$163:$A$179</c:f>
              <c:numCache>
                <c:formatCode>_(* #,##0_);_(* \(#,##0\);_(* \-??_);_(@_)</c:formatCode>
                <c:ptCount val="17"/>
                <c:pt idx="0" formatCode="General">
                  <c:v>0</c:v>
                </c:pt>
                <c:pt idx="1">
                  <c:v>1100000</c:v>
                </c:pt>
                <c:pt idx="2">
                  <c:v>1200000</c:v>
                </c:pt>
                <c:pt idx="3">
                  <c:v>1300000</c:v>
                </c:pt>
                <c:pt idx="4">
                  <c:v>1400000</c:v>
                </c:pt>
                <c:pt idx="5">
                  <c:v>1500000</c:v>
                </c:pt>
                <c:pt idx="6">
                  <c:v>1600000</c:v>
                </c:pt>
                <c:pt idx="7">
                  <c:v>1700000</c:v>
                </c:pt>
                <c:pt idx="8">
                  <c:v>1800000</c:v>
                </c:pt>
                <c:pt idx="9">
                  <c:v>1900000</c:v>
                </c:pt>
                <c:pt idx="10">
                  <c:v>2000000</c:v>
                </c:pt>
                <c:pt idx="11">
                  <c:v>2100000</c:v>
                </c:pt>
                <c:pt idx="12">
                  <c:v>2200000</c:v>
                </c:pt>
                <c:pt idx="13">
                  <c:v>2300000</c:v>
                </c:pt>
                <c:pt idx="14">
                  <c:v>2400000</c:v>
                </c:pt>
                <c:pt idx="15">
                  <c:v>2500000</c:v>
                </c:pt>
                <c:pt idx="16">
                  <c:v>2600000</c:v>
                </c:pt>
              </c:numCache>
            </c:numRef>
          </c:xVal>
          <c:yVal>
            <c:numRef>
              <c:f>'E-Costos'!$C$163:$C$179</c:f>
              <c:numCache>
                <c:formatCode>_(* #,##0_);_(* \(#,##0\);_(* \-??_);_(@_)</c:formatCode>
                <c:ptCount val="17"/>
                <c:pt idx="0">
                  <c:v>0</c:v>
                </c:pt>
                <c:pt idx="1">
                  <c:v>1088267.9143232398</c:v>
                </c:pt>
                <c:pt idx="2">
                  <c:v>1187201.361079898</c:v>
                </c:pt>
                <c:pt idx="3">
                  <c:v>1286134.8078365561</c:v>
                </c:pt>
                <c:pt idx="4">
                  <c:v>1385068.2545932143</c:v>
                </c:pt>
                <c:pt idx="5">
                  <c:v>1484001.7013498724</c:v>
                </c:pt>
                <c:pt idx="6">
                  <c:v>1582935.1481065305</c:v>
                </c:pt>
                <c:pt idx="7">
                  <c:v>1681868.5948631887</c:v>
                </c:pt>
                <c:pt idx="8">
                  <c:v>1780802.0416198468</c:v>
                </c:pt>
                <c:pt idx="9">
                  <c:v>1879735.488376505</c:v>
                </c:pt>
                <c:pt idx="10">
                  <c:v>1978668.9351331631</c:v>
                </c:pt>
                <c:pt idx="11">
                  <c:v>2077602.3818898215</c:v>
                </c:pt>
                <c:pt idx="12">
                  <c:v>2176535.8286464796</c:v>
                </c:pt>
                <c:pt idx="13">
                  <c:v>2275469.2754031378</c:v>
                </c:pt>
                <c:pt idx="14">
                  <c:v>2374402.7221597959</c:v>
                </c:pt>
                <c:pt idx="15">
                  <c:v>2473336.1689164541</c:v>
                </c:pt>
                <c:pt idx="16">
                  <c:v>2572269.6156731122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'E-Costos'!$D$162</c:f>
              <c:strCache>
                <c:ptCount val="1"/>
                <c:pt idx="0">
                  <c:v>Costo Total</c:v>
                </c:pt>
              </c:strCache>
            </c:strRef>
          </c:tx>
          <c:marker>
            <c:symbol val="none"/>
          </c:marker>
          <c:xVal>
            <c:numRef>
              <c:f>'E-Costos'!$A$163:$A$179</c:f>
              <c:numCache>
                <c:formatCode>_(* #,##0_);_(* \(#,##0\);_(* \-??_);_(@_)</c:formatCode>
                <c:ptCount val="17"/>
                <c:pt idx="0" formatCode="General">
                  <c:v>0</c:v>
                </c:pt>
                <c:pt idx="1">
                  <c:v>1100000</c:v>
                </c:pt>
                <c:pt idx="2">
                  <c:v>1200000</c:v>
                </c:pt>
                <c:pt idx="3">
                  <c:v>1300000</c:v>
                </c:pt>
                <c:pt idx="4">
                  <c:v>1400000</c:v>
                </c:pt>
                <c:pt idx="5">
                  <c:v>1500000</c:v>
                </c:pt>
                <c:pt idx="6">
                  <c:v>1600000</c:v>
                </c:pt>
                <c:pt idx="7">
                  <c:v>1700000</c:v>
                </c:pt>
                <c:pt idx="8">
                  <c:v>1800000</c:v>
                </c:pt>
                <c:pt idx="9">
                  <c:v>1900000</c:v>
                </c:pt>
                <c:pt idx="10">
                  <c:v>2000000</c:v>
                </c:pt>
                <c:pt idx="11">
                  <c:v>2100000</c:v>
                </c:pt>
                <c:pt idx="12">
                  <c:v>2200000</c:v>
                </c:pt>
                <c:pt idx="13">
                  <c:v>2300000</c:v>
                </c:pt>
                <c:pt idx="14">
                  <c:v>2400000</c:v>
                </c:pt>
                <c:pt idx="15">
                  <c:v>2500000</c:v>
                </c:pt>
                <c:pt idx="16">
                  <c:v>2600000</c:v>
                </c:pt>
              </c:numCache>
            </c:numRef>
          </c:xVal>
          <c:yVal>
            <c:numRef>
              <c:f>'E-Costos'!$D$163:$D$179</c:f>
              <c:numCache>
                <c:formatCode>_(* #,##0_);_(* \(#,##0\);_(* \-??_);_(@_)</c:formatCode>
                <c:ptCount val="17"/>
                <c:pt idx="0">
                  <c:v>1354718.8093569633</c:v>
                </c:pt>
                <c:pt idx="1">
                  <c:v>2442986.7236802028</c:v>
                </c:pt>
                <c:pt idx="2">
                  <c:v>2541920.170436861</c:v>
                </c:pt>
                <c:pt idx="3">
                  <c:v>2640853.6171935191</c:v>
                </c:pt>
                <c:pt idx="4">
                  <c:v>2739787.0639501773</c:v>
                </c:pt>
                <c:pt idx="5">
                  <c:v>2838720.5107068354</c:v>
                </c:pt>
                <c:pt idx="6">
                  <c:v>2937653.9574634936</c:v>
                </c:pt>
                <c:pt idx="7">
                  <c:v>3036587.4042201517</c:v>
                </c:pt>
                <c:pt idx="8">
                  <c:v>3135520.8509768099</c:v>
                </c:pt>
                <c:pt idx="9">
                  <c:v>3234454.297733468</c:v>
                </c:pt>
                <c:pt idx="10">
                  <c:v>3333387.7444901261</c:v>
                </c:pt>
                <c:pt idx="11">
                  <c:v>3432321.1912467848</c:v>
                </c:pt>
                <c:pt idx="12">
                  <c:v>3531254.6380034429</c:v>
                </c:pt>
                <c:pt idx="13">
                  <c:v>3630188.084760101</c:v>
                </c:pt>
                <c:pt idx="14">
                  <c:v>3729121.5315167592</c:v>
                </c:pt>
                <c:pt idx="15">
                  <c:v>3828054.9782734173</c:v>
                </c:pt>
                <c:pt idx="16">
                  <c:v>3926988.4250300755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'E-Costos'!$E$162</c:f>
              <c:strCache>
                <c:ptCount val="1"/>
                <c:pt idx="0">
                  <c:v>Ventas</c:v>
                </c:pt>
              </c:strCache>
            </c:strRef>
          </c:tx>
          <c:marker>
            <c:symbol val="none"/>
          </c:marker>
          <c:xVal>
            <c:numRef>
              <c:f>'E-Costos'!$A$163:$A$179</c:f>
              <c:numCache>
                <c:formatCode>_(* #,##0_);_(* \(#,##0\);_(* \-??_);_(@_)</c:formatCode>
                <c:ptCount val="17"/>
                <c:pt idx="0" formatCode="General">
                  <c:v>0</c:v>
                </c:pt>
                <c:pt idx="1">
                  <c:v>1100000</c:v>
                </c:pt>
                <c:pt idx="2">
                  <c:v>1200000</c:v>
                </c:pt>
                <c:pt idx="3">
                  <c:v>1300000</c:v>
                </c:pt>
                <c:pt idx="4">
                  <c:v>1400000</c:v>
                </c:pt>
                <c:pt idx="5">
                  <c:v>1500000</c:v>
                </c:pt>
                <c:pt idx="6">
                  <c:v>1600000</c:v>
                </c:pt>
                <c:pt idx="7">
                  <c:v>1700000</c:v>
                </c:pt>
                <c:pt idx="8">
                  <c:v>1800000</c:v>
                </c:pt>
                <c:pt idx="9">
                  <c:v>1900000</c:v>
                </c:pt>
                <c:pt idx="10">
                  <c:v>2000000</c:v>
                </c:pt>
                <c:pt idx="11">
                  <c:v>2100000</c:v>
                </c:pt>
                <c:pt idx="12">
                  <c:v>2200000</c:v>
                </c:pt>
                <c:pt idx="13">
                  <c:v>2300000</c:v>
                </c:pt>
                <c:pt idx="14">
                  <c:v>2400000</c:v>
                </c:pt>
                <c:pt idx="15">
                  <c:v>2500000</c:v>
                </c:pt>
                <c:pt idx="16">
                  <c:v>2600000</c:v>
                </c:pt>
              </c:numCache>
            </c:numRef>
          </c:xVal>
          <c:yVal>
            <c:numRef>
              <c:f>'E-Costos'!$E$163:$E$179</c:f>
              <c:numCache>
                <c:formatCode>_(* #,##0_);_(* \(#,##0\);_(* \-??_);_(@_)</c:formatCode>
                <c:ptCount val="17"/>
                <c:pt idx="0">
                  <c:v>0</c:v>
                </c:pt>
                <c:pt idx="1">
                  <c:v>5500000</c:v>
                </c:pt>
                <c:pt idx="2">
                  <c:v>6000000</c:v>
                </c:pt>
                <c:pt idx="3">
                  <c:v>6500000</c:v>
                </c:pt>
                <c:pt idx="4">
                  <c:v>7000000</c:v>
                </c:pt>
                <c:pt idx="5">
                  <c:v>7500000</c:v>
                </c:pt>
                <c:pt idx="6">
                  <c:v>8000000</c:v>
                </c:pt>
                <c:pt idx="7">
                  <c:v>8500000</c:v>
                </c:pt>
                <c:pt idx="8">
                  <c:v>9000000</c:v>
                </c:pt>
                <c:pt idx="9">
                  <c:v>9500000</c:v>
                </c:pt>
                <c:pt idx="10">
                  <c:v>10000000</c:v>
                </c:pt>
                <c:pt idx="11">
                  <c:v>10500000</c:v>
                </c:pt>
                <c:pt idx="12">
                  <c:v>11000000</c:v>
                </c:pt>
                <c:pt idx="13">
                  <c:v>11500000</c:v>
                </c:pt>
                <c:pt idx="14">
                  <c:v>12000000</c:v>
                </c:pt>
                <c:pt idx="15">
                  <c:v>12500000</c:v>
                </c:pt>
                <c:pt idx="16">
                  <c:v>13000000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9368064"/>
        <c:axId val="219346048"/>
      </c:scatterChart>
      <c:valAx>
        <c:axId val="2193680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19346048"/>
        <c:crosses val="autoZero"/>
        <c:crossBetween val="midCat"/>
      </c:valAx>
      <c:valAx>
        <c:axId val="219346048"/>
        <c:scaling>
          <c:orientation val="minMax"/>
        </c:scaling>
        <c:delete val="0"/>
        <c:axPos val="l"/>
        <c:majorGridlines/>
        <c:numFmt formatCode="_(* #,##0_);_(* \(#,##0\);_(* \-??_);_(@_)" sourceLinked="1"/>
        <c:majorTickMark val="out"/>
        <c:minorTickMark val="none"/>
        <c:tickLblPos val="nextTo"/>
        <c:crossAx val="219368064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497416</xdr:colOff>
      <xdr:row>139</xdr:row>
      <xdr:rowOff>78316</xdr:rowOff>
    </xdr:from>
    <xdr:to>
      <xdr:col>17</xdr:col>
      <xdr:colOff>95250</xdr:colOff>
      <xdr:row>158</xdr:row>
      <xdr:rowOff>158749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762000</xdr:colOff>
      <xdr:row>161</xdr:row>
      <xdr:rowOff>14817</xdr:rowOff>
    </xdr:from>
    <xdr:to>
      <xdr:col>17</xdr:col>
      <xdr:colOff>63500</xdr:colOff>
      <xdr:row>179</xdr:row>
      <xdr:rowOff>42333</xdr:rowOff>
    </xdr:to>
    <xdr:graphicFrame macro="">
      <xdr:nvGraphicFramePr>
        <xdr:cNvPr id="11" name="10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ejandra/Downloads/1%20Dim%20Economico%20Financiero_5_grupo_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Inicial"/>
      <sheetName val="Apertura Económica"/>
      <sheetName val="E-Inv AF y Am"/>
      <sheetName val="E-Costos"/>
      <sheetName val="E-InvAT"/>
      <sheetName val="E-Cal Inv."/>
      <sheetName val="E-IVA "/>
      <sheetName val="E-Form"/>
      <sheetName val="Apertura Financiera"/>
      <sheetName val="F-Cred"/>
      <sheetName val="F-CRes"/>
      <sheetName val="F-2 Estructura"/>
      <sheetName val="F-IVA"/>
      <sheetName val="F- CFyU"/>
      <sheetName val="F-Balance"/>
      <sheetName val="F- Form"/>
    </sheetNames>
    <sheetDataSet>
      <sheetData sheetId="0"/>
      <sheetData sheetId="1">
        <row r="103">
          <cell r="G103">
            <v>0.48563069277273629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ables/table1.xml><?xml version="1.0" encoding="utf-8"?>
<table xmlns="http://schemas.openxmlformats.org/spreadsheetml/2006/main" id="1" name="Tabla1" displayName="Tabla1" ref="A46:C50" totalsRowCount="1" headerRowBorderDxfId="99" tableBorderDxfId="98" totalsRowBorderDxfId="97">
  <tableColumns count="3">
    <tableColumn id="1" name="Columna1" totalsRowLabel="Total" dataDxfId="96" totalsRowDxfId="95"/>
    <tableColumn id="2" name="Sueldo" dataDxfId="94" totalsRowDxfId="93"/>
    <tableColumn id="3" name="Total" totalsRowFunction="sum" dataDxfId="92" totalsRowDxfId="91">
      <calculatedColumnFormula>+B47*InfoInicial!B23*12</calculatedColumnFormula>
    </tableColumn>
  </tableColumns>
  <tableStyleInfo name="TableStyleLight8" showFirstColumn="0" showLastColumn="0" showRowStripes="1" showColumnStripes="0"/>
</table>
</file>

<file path=xl/tables/table10.xml><?xml version="1.0" encoding="utf-8"?>
<table xmlns="http://schemas.openxmlformats.org/spreadsheetml/2006/main" id="11" name="Tabla11" displayName="Tabla11" ref="A80:B81" totalsRowShown="0">
  <tableColumns count="2">
    <tableColumn id="1" name="Stock promedio de PT"/>
    <tableColumn id="2" name=" Cantidad" dataCellStyle="Millares"/>
  </tableColumns>
  <tableStyleInfo name="TableStyleLight8" showFirstColumn="0" showLastColumn="0" showRowStripes="1" showColumnStripes="0"/>
</table>
</file>

<file path=xl/tables/table11.xml><?xml version="1.0" encoding="utf-8"?>
<table xmlns="http://schemas.openxmlformats.org/spreadsheetml/2006/main" id="13" name="Tabla13" displayName="Tabla13" ref="A83:B85" totalsRowShown="0">
  <tableColumns count="2">
    <tableColumn id="1" name="COEFICIENTES"/>
    <tableColumn id="2" name="VALORES DE COEFICIENTES" dataDxfId="73"/>
  </tableColumns>
  <tableStyleInfo name="TableStyleLight8" showFirstColumn="0" showLastColumn="0" showRowStripes="1" showColumnStripes="0"/>
</table>
</file>

<file path=xl/tables/table12.xml><?xml version="1.0" encoding="utf-8"?>
<table xmlns="http://schemas.openxmlformats.org/spreadsheetml/2006/main" id="14" name="Tabla14" displayName="Tabla14" ref="D83:F89" totalsRowShown="0" dataDxfId="72" tableBorderDxfId="71">
  <tableColumns count="3">
    <tableColumn id="1" name="Secciones" dataDxfId="70"/>
    <tableColumn id="2" name="DNR" dataDxfId="69" dataCellStyle="Millares"/>
    <tableColumn id="3" name="Producciones seccionales" dataDxfId="68" dataCellStyle="Millares"/>
  </tableColumns>
  <tableStyleInfo name="TableStyleLight8" showFirstColumn="0" showLastColumn="0" showRowStripes="1" showColumnStripes="0"/>
</table>
</file>

<file path=xl/tables/table13.xml><?xml version="1.0" encoding="utf-8"?>
<table xmlns="http://schemas.openxmlformats.org/spreadsheetml/2006/main" id="15" name="Tabla15" displayName="Tabla15" ref="A91:C94" totalsRowShown="0">
  <tableColumns count="3">
    <tableColumn id="1" name="MC Y SE" dataDxfId="67"/>
    <tableColumn id="2" name="CANTIDAD" dataDxfId="66"/>
    <tableColumn id="3" name="UNIDAD"/>
  </tableColumns>
  <tableStyleInfo name="TableStyleLight8" showFirstColumn="0" showLastColumn="0" showRowStripes="1" showColumnStripes="0"/>
</table>
</file>

<file path=xl/tables/table14.xml><?xml version="1.0" encoding="utf-8"?>
<table xmlns="http://schemas.openxmlformats.org/spreadsheetml/2006/main" id="16" name="Tabla16" displayName="Tabla16" ref="A96:C97" totalsRowShown="0">
  <tableColumns count="3">
    <tableColumn id="1" name="CONSUMO MP" dataDxfId="65"/>
    <tableColumn id="2" name="AÑO 1" dataDxfId="64"/>
    <tableColumn id="3" name="AÑO 2 A 5" dataDxfId="63"/>
  </tableColumns>
  <tableStyleInfo name="TableStyleLight8" showFirstColumn="0" showLastColumn="0" showRowStripes="1" showColumnStripes="0"/>
</table>
</file>

<file path=xl/tables/table15.xml><?xml version="1.0" encoding="utf-8"?>
<table xmlns="http://schemas.openxmlformats.org/spreadsheetml/2006/main" id="17" name="Tabla17" displayName="Tabla17" ref="F91:I92" totalsRowShown="0">
  <tableColumns count="4">
    <tableColumn id="1" name="Parte inicial costos MOD"/>
    <tableColumn id="2" name=" " dataDxfId="62"/>
    <tableColumn id="3" name="Año 1" dataDxfId="61">
      <calculatedColumnFormula>+((B47*6)/N129)</calculatedColumnFormula>
    </tableColumn>
    <tableColumn id="4" name="Año 2" dataDxfId="60">
      <calculatedColumnFormula>(B47*6*0.9)/N128</calculatedColumnFormula>
    </tableColumn>
  </tableColumns>
  <tableStyleInfo name="TableStyleLight8" showFirstColumn="0" showLastColumn="0" showRowStripes="1" showColumnStripes="0"/>
</table>
</file>

<file path=xl/tables/table16.xml><?xml version="1.0" encoding="utf-8"?>
<table xmlns="http://schemas.openxmlformats.org/spreadsheetml/2006/main" id="18" name="Tabla18" displayName="Tabla18" ref="E110:G114" totalsRowShown="0" headerRowBorderDxfId="59" tableBorderDxfId="58" totalsRowBorderDxfId="57">
  <tableColumns count="3">
    <tableColumn id="1" name="DESCRIPCIÓN" dataDxfId="56"/>
    <tableColumn id="2" name="REFERENCIA" dataDxfId="55"/>
    <tableColumn id="3" name="VALOR" dataDxfId="54"/>
  </tableColumns>
  <tableStyleInfo name="TableStyleMedium23" showFirstColumn="0" showLastColumn="0" showRowStripes="1" showColumnStripes="0"/>
</table>
</file>

<file path=xl/tables/table17.xml><?xml version="1.0" encoding="utf-8"?>
<table xmlns="http://schemas.openxmlformats.org/spreadsheetml/2006/main" id="19" name="Tabla19" displayName="Tabla19" ref="E119:F123" totalsRowShown="0" headerRowDxfId="53" dataDxfId="52">
  <tableColumns count="2">
    <tableColumn id="1" name="DESCRIPCIÓN" dataDxfId="51"/>
    <tableColumn id="2" name="VALORES" dataDxfId="50"/>
  </tableColumns>
  <tableStyleInfo name="TableStyleMedium23" showFirstColumn="0" showLastColumn="0" showRowStripes="1" showColumnStripes="0"/>
</table>
</file>

<file path=xl/tables/table18.xml><?xml version="1.0" encoding="utf-8"?>
<table xmlns="http://schemas.openxmlformats.org/spreadsheetml/2006/main" id="21" name="Tabla1922" displayName="Tabla1922" ref="E127:F131" totalsRowShown="0" headerRowDxfId="49" dataDxfId="48">
  <tableColumns count="2">
    <tableColumn id="1" name="DESCRIPCIÓN" dataDxfId="47"/>
    <tableColumn id="2" name="VALORES" dataDxfId="46"/>
  </tableColumns>
  <tableStyleInfo name="TableStyleMedium23" showFirstColumn="0" showLastColumn="0" showRowStripes="1" showColumnStripes="0"/>
</table>
</file>

<file path=xl/tables/table19.xml><?xml version="1.0" encoding="utf-8"?>
<table xmlns="http://schemas.openxmlformats.org/spreadsheetml/2006/main" id="23" name="Tabla192224" displayName="Tabla192224" ref="E135:F139" totalsRowShown="0" headerRowDxfId="45" dataDxfId="44">
  <tableColumns count="2">
    <tableColumn id="1" name="DESCRIPCIÓN" dataDxfId="43"/>
    <tableColumn id="2" name="VALORES" dataDxfId="42"/>
  </tableColumns>
  <tableStyleInfo name="TableStyleMedium23" showFirstColumn="0" showLastColumn="0" showRowStripes="1" showColumnStripes="0"/>
</table>
</file>

<file path=xl/tables/table2.xml><?xml version="1.0" encoding="utf-8"?>
<table xmlns="http://schemas.openxmlformats.org/spreadsheetml/2006/main" id="2" name="Tabla2" displayName="Tabla2" ref="A27:F35" totalsRowShown="0">
  <tableColumns count="6">
    <tableColumn id="1" name="Materias primas"/>
    <tableColumn id="2" name="Cantidad unitaria" dataDxfId="90"/>
    <tableColumn id="3" name="Unidad" dataDxfId="89"/>
    <tableColumn id="4" name="Total" dataDxfId="88"/>
    <tableColumn id="5" name="$/kg" dataDxfId="87"/>
    <tableColumn id="6" name="Total2" dataDxfId="86">
      <calculatedColumnFormula>+E28*B28</calculatedColumnFormula>
    </tableColumn>
  </tableColumns>
  <tableStyleInfo name="TableStyleLight8" showFirstColumn="0" showLastColumn="0" showRowStripes="1" showColumnStripes="0"/>
</table>
</file>

<file path=xl/tables/table20.xml><?xml version="1.0" encoding="utf-8"?>
<table xmlns="http://schemas.openxmlformats.org/spreadsheetml/2006/main" id="64" name="Tabla64" displayName="Tabla64" ref="E72:G73" totalsRowShown="0">
  <tableColumns count="3">
    <tableColumn id="1" name="Columna1"/>
    <tableColumn id="2" name="Año 1"/>
    <tableColumn id="3" name="Año 2 a 5"/>
  </tableColumns>
  <tableStyleInfo name="TableStyleLight8" showFirstColumn="0" showLastColumn="0" showRowStripes="1" showColumnStripes="0"/>
</table>
</file>

<file path=xl/tables/table21.xml><?xml version="1.0" encoding="utf-8"?>
<table xmlns="http://schemas.openxmlformats.org/spreadsheetml/2006/main" id="65" name="Tabla65" displayName="Tabla65" ref="M127:O129" totalsRowShown="0">
  <tableColumns count="3">
    <tableColumn id="1" name="[peso cuchara]=Kg">
      <calculatedColumnFormula>25/1000</calculatedColumnFormula>
    </tableColumn>
    <tableColumn id="2" name="Kilogramos de mp producción//Ventas">
      <calculatedColumnFormula>+(M127*H1)</calculatedColumnFormula>
    </tableColumn>
    <tableColumn id="3" name="años"/>
  </tableColumns>
  <tableStyleInfo name="TableStyleLight8" showFirstColumn="0" showLastColumn="0" showRowStripes="1" showColumnStripes="0"/>
</table>
</file>

<file path=xl/tables/table3.xml><?xml version="1.0" encoding="utf-8"?>
<table xmlns="http://schemas.openxmlformats.org/spreadsheetml/2006/main" id="3" name="Tabla3" displayName="Tabla3" ref="A17:D23" totalsRowShown="0">
  <tableColumns count="4">
    <tableColumn id="1" name="Muebles y útiles"/>
    <tableColumn id="2" name="Cantidad" dataDxfId="85"/>
    <tableColumn id="3" name="Precio" dataDxfId="84"/>
    <tableColumn id="4" name="Total" dataDxfId="83">
      <calculatedColumnFormula>+B18*C18</calculatedColumnFormula>
    </tableColumn>
  </tableColumns>
  <tableStyleInfo name="TableStyleLight8" showFirstColumn="0" showLastColumn="0" showRowStripes="1" showColumnStripes="0"/>
</table>
</file>

<file path=xl/tables/table4.xml><?xml version="1.0" encoding="utf-8"?>
<table xmlns="http://schemas.openxmlformats.org/spreadsheetml/2006/main" id="5" name="Tabla5" displayName="Tabla5" ref="A11:C12" totalsRowShown="0">
  <tableColumns count="3">
    <tableColumn id="1" name="Columna1"/>
    <tableColumn id="2" name="Valor U$D"/>
    <tableColumn id="3" name="Valor $" dataDxfId="82">
      <calculatedColumnFormula>+B12*InfoInicial!B32</calculatedColumnFormula>
    </tableColumn>
  </tableColumns>
  <tableStyleInfo name="TableStyleLight8" showFirstColumn="0" showLastColumn="0" showRowStripes="1" showColumnStripes="0"/>
</table>
</file>

<file path=xl/tables/table5.xml><?xml version="1.0" encoding="utf-8"?>
<table xmlns="http://schemas.openxmlformats.org/spreadsheetml/2006/main" id="6" name="Tabla6" displayName="Tabla6" ref="A14:C15" totalsRowShown="0">
  <tableColumns count="3">
    <tableColumn id="1" name="Rodados y equipos"/>
    <tableColumn id="2" name="Columna1"/>
    <tableColumn id="3" name="Columna2"/>
  </tableColumns>
  <tableStyleInfo name="TableStyleLight8" showFirstColumn="0" showLastColumn="0" showRowStripes="1" showColumnStripes="0"/>
</table>
</file>

<file path=xl/tables/table6.xml><?xml version="1.0" encoding="utf-8"?>
<table xmlns="http://schemas.openxmlformats.org/spreadsheetml/2006/main" id="7" name="Tabla7" displayName="Tabla7" ref="A3:F8" totalsRowShown="0">
  <tableColumns count="6">
    <tableColumn id="1" name="Máquina"/>
    <tableColumn id="2" name="Cantidad"/>
    <tableColumn id="3" name="Valor" dataDxfId="81"/>
    <tableColumn id="4" name="Valor total" dataDxfId="80">
      <calculatedColumnFormula>+C4*B4</calculatedColumnFormula>
    </tableColumn>
    <tableColumn id="5" name="Valor U$D"/>
    <tableColumn id="6" name="Repuestos" dataDxfId="79"/>
  </tableColumns>
  <tableStyleInfo name="TableStyleLight8" showFirstColumn="0" showLastColumn="0" showRowStripes="1" showColumnStripes="0"/>
</table>
</file>

<file path=xl/tables/table7.xml><?xml version="1.0" encoding="utf-8"?>
<table xmlns="http://schemas.openxmlformats.org/spreadsheetml/2006/main" id="8" name="Tabla8" displayName="Tabla8" ref="A72:C74" totalsRowShown="0" headerRowDxfId="78" dataDxfId="77">
  <tableColumns count="3">
    <tableColumn id="1" name="Produccion" dataDxfId="76"/>
    <tableColumn id="2" name="Cantidad" dataDxfId="75" dataCellStyle="Millares"/>
    <tableColumn id="3" name="Columna1" dataDxfId="74">
      <calculatedColumnFormula>0.025*B73</calculatedColumnFormula>
    </tableColumn>
  </tableColumns>
  <tableStyleInfo name="TableStyleLight8" showFirstColumn="0" showLastColumn="0" showRowStripes="1" showColumnStripes="0"/>
</table>
</file>

<file path=xl/tables/table8.xml><?xml version="1.0" encoding="utf-8"?>
<table xmlns="http://schemas.openxmlformats.org/spreadsheetml/2006/main" id="9" name="Tabla9" displayName="Tabla9" ref="G1:I2" totalsRowShown="0">
  <tableColumns count="3">
    <tableColumn id="1" name="VENTAS"/>
    <tableColumn id="2" name="Año 1" dataCellStyle="Millares"/>
    <tableColumn id="3" name="Año 2" dataCellStyle="Millares"/>
  </tableColumns>
  <tableStyleInfo name="TableStyleLight8" showFirstColumn="0" showLastColumn="0" showRowStripes="1" showColumnStripes="0"/>
</table>
</file>

<file path=xl/tables/table9.xml><?xml version="1.0" encoding="utf-8"?>
<table xmlns="http://schemas.openxmlformats.org/spreadsheetml/2006/main" id="10" name="Tabla10" displayName="Tabla10" ref="A76:B78" totalsRowShown="0">
  <tableColumns count="2">
    <tableColumn id="1" name="Stock promedio de MP"/>
    <tableColumn id="2" name="Cantidad" dataCellStyle="Millares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3" Type="http://schemas.openxmlformats.org/officeDocument/2006/relationships/table" Target="../tables/table2.xml"/><Relationship Id="rId21" Type="http://schemas.openxmlformats.org/officeDocument/2006/relationships/table" Target="../tables/table20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20" Type="http://schemas.openxmlformats.org/officeDocument/2006/relationships/table" Target="../tables/table19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10" Type="http://schemas.openxmlformats.org/officeDocument/2006/relationships/table" Target="../tables/table9.xml"/><Relationship Id="rId19" Type="http://schemas.openxmlformats.org/officeDocument/2006/relationships/table" Target="../tables/table18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Relationship Id="rId22" Type="http://schemas.openxmlformats.org/officeDocument/2006/relationships/table" Target="../tables/table2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6"/>
  <sheetViews>
    <sheetView workbookViewId="0">
      <selection activeCell="D9" sqref="D9"/>
    </sheetView>
  </sheetViews>
  <sheetFormatPr baseColWidth="10" defaultRowHeight="12.75" x14ac:dyDescent="0.2"/>
  <cols>
    <col min="1" max="1" width="27.42578125" bestFit="1" customWidth="1"/>
    <col min="2" max="2" width="27.28515625" bestFit="1" customWidth="1"/>
    <col min="3" max="3" width="13.85546875" bestFit="1" customWidth="1"/>
    <col min="4" max="4" width="23.7109375" bestFit="1" customWidth="1"/>
    <col min="5" max="5" width="37.7109375" bestFit="1" customWidth="1"/>
    <col min="6" max="6" width="24.85546875" customWidth="1"/>
    <col min="7" max="7" width="12.28515625" bestFit="1" customWidth="1"/>
    <col min="8" max="8" width="12.85546875" bestFit="1" customWidth="1"/>
    <col min="9" max="9" width="28.5703125" bestFit="1" customWidth="1"/>
    <col min="10" max="10" width="12" bestFit="1" customWidth="1"/>
    <col min="11" max="11" width="11.42578125" customWidth="1"/>
    <col min="13" max="13" width="18.85546875" customWidth="1"/>
    <col min="14" max="14" width="38.42578125" bestFit="1" customWidth="1"/>
  </cols>
  <sheetData>
    <row r="1" spans="1:9" x14ac:dyDescent="0.2">
      <c r="A1" s="12" t="s">
        <v>461</v>
      </c>
      <c r="G1" s="12" t="s">
        <v>462</v>
      </c>
      <c r="H1" t="s">
        <v>54</v>
      </c>
      <c r="I1" t="s">
        <v>95</v>
      </c>
    </row>
    <row r="2" spans="1:9" x14ac:dyDescent="0.2">
      <c r="H2" s="299">
        <v>2384400</v>
      </c>
      <c r="I2" s="299">
        <v>2741000</v>
      </c>
    </row>
    <row r="3" spans="1:9" x14ac:dyDescent="0.2">
      <c r="A3" t="s">
        <v>409</v>
      </c>
      <c r="B3" t="s">
        <v>408</v>
      </c>
      <c r="C3" t="s">
        <v>411</v>
      </c>
      <c r="D3" t="s">
        <v>412</v>
      </c>
      <c r="E3" t="s">
        <v>414</v>
      </c>
      <c r="F3" t="s">
        <v>88</v>
      </c>
    </row>
    <row r="4" spans="1:9" x14ac:dyDescent="0.2">
      <c r="A4" t="s">
        <v>431</v>
      </c>
      <c r="B4">
        <v>1</v>
      </c>
      <c r="C4" s="250">
        <f>+E4*InfoInicial!$B$32</f>
        <v>81900</v>
      </c>
      <c r="D4" s="250">
        <f>+C4*B4</f>
        <v>81900</v>
      </c>
      <c r="E4">
        <v>2100</v>
      </c>
      <c r="F4" s="250">
        <f>0.02*C4</f>
        <v>1638</v>
      </c>
    </row>
    <row r="5" spans="1:9" x14ac:dyDescent="0.2">
      <c r="A5" t="s">
        <v>404</v>
      </c>
      <c r="B5">
        <v>1</v>
      </c>
      <c r="C5" s="250">
        <v>95000</v>
      </c>
      <c r="D5" s="250">
        <f>+C5*B5</f>
        <v>95000</v>
      </c>
      <c r="F5" s="250">
        <f>0.02*C5</f>
        <v>1900</v>
      </c>
    </row>
    <row r="6" spans="1:9" x14ac:dyDescent="0.2">
      <c r="A6" t="s">
        <v>405</v>
      </c>
      <c r="B6">
        <v>1</v>
      </c>
      <c r="C6" s="250">
        <f>+E6*InfoInicial!$B$32</f>
        <v>70200</v>
      </c>
      <c r="D6" s="250">
        <f>+C6*B6</f>
        <v>70200</v>
      </c>
      <c r="E6">
        <v>1800</v>
      </c>
      <c r="F6" s="250">
        <f>0.02*C6</f>
        <v>1404</v>
      </c>
    </row>
    <row r="7" spans="1:9" x14ac:dyDescent="0.2">
      <c r="A7" t="s">
        <v>406</v>
      </c>
      <c r="B7">
        <v>1</v>
      </c>
      <c r="C7" s="250">
        <v>90000</v>
      </c>
      <c r="D7" s="250">
        <f>+C7*B7</f>
        <v>90000</v>
      </c>
      <c r="F7" s="250">
        <f>0.02*C7</f>
        <v>1800</v>
      </c>
    </row>
    <row r="8" spans="1:9" x14ac:dyDescent="0.2">
      <c r="A8" t="s">
        <v>407</v>
      </c>
      <c r="B8">
        <v>2</v>
      </c>
      <c r="C8" s="250">
        <v>115000</v>
      </c>
      <c r="D8" s="250">
        <f>+C8*B8</f>
        <v>230000</v>
      </c>
      <c r="F8" s="250">
        <f>0.02*D8</f>
        <v>4600</v>
      </c>
    </row>
    <row r="9" spans="1:9" x14ac:dyDescent="0.2">
      <c r="A9" s="301" t="s">
        <v>158</v>
      </c>
      <c r="B9" s="301"/>
      <c r="C9" s="301"/>
      <c r="D9" s="302">
        <f>SUM(D4:D8)</f>
        <v>567100</v>
      </c>
      <c r="E9" s="301"/>
      <c r="F9" s="302">
        <f>+SUM(F4:F8)</f>
        <v>11342</v>
      </c>
    </row>
    <row r="11" spans="1:9" x14ac:dyDescent="0.2">
      <c r="A11" t="s">
        <v>456</v>
      </c>
      <c r="B11" t="s">
        <v>414</v>
      </c>
      <c r="C11" t="s">
        <v>415</v>
      </c>
    </row>
    <row r="12" spans="1:9" x14ac:dyDescent="0.2">
      <c r="A12" t="s">
        <v>413</v>
      </c>
      <c r="B12">
        <v>253000</v>
      </c>
      <c r="C12" s="298">
        <f>+B12*InfoInicial!B32</f>
        <v>9867000</v>
      </c>
    </row>
    <row r="14" spans="1:9" x14ac:dyDescent="0.2">
      <c r="A14" t="s">
        <v>416</v>
      </c>
      <c r="B14" t="s">
        <v>456</v>
      </c>
      <c r="C14" t="s">
        <v>460</v>
      </c>
    </row>
    <row r="15" spans="1:9" x14ac:dyDescent="0.2">
      <c r="A15" t="s">
        <v>417</v>
      </c>
      <c r="C15">
        <v>300000</v>
      </c>
    </row>
    <row r="17" spans="1:10" x14ac:dyDescent="0.2">
      <c r="A17" t="s">
        <v>65</v>
      </c>
      <c r="B17" t="s">
        <v>408</v>
      </c>
      <c r="C17" t="s">
        <v>410</v>
      </c>
      <c r="D17" t="s">
        <v>158</v>
      </c>
    </row>
    <row r="18" spans="1:10" x14ac:dyDescent="0.2">
      <c r="A18" t="s">
        <v>432</v>
      </c>
      <c r="B18" s="290">
        <v>4</v>
      </c>
      <c r="C18" s="254">
        <v>2000</v>
      </c>
      <c r="D18" s="254">
        <f t="shared" ref="D18:D23" si="0">+B18*C18</f>
        <v>8000</v>
      </c>
    </row>
    <row r="19" spans="1:10" x14ac:dyDescent="0.2">
      <c r="A19" t="s">
        <v>433</v>
      </c>
      <c r="B19" s="290">
        <v>4</v>
      </c>
      <c r="C19" s="254">
        <v>8000</v>
      </c>
      <c r="D19" s="254">
        <f t="shared" si="0"/>
        <v>32000</v>
      </c>
    </row>
    <row r="20" spans="1:10" x14ac:dyDescent="0.2">
      <c r="A20" t="s">
        <v>434</v>
      </c>
      <c r="B20" s="290">
        <v>4</v>
      </c>
      <c r="C20" s="254">
        <v>1000</v>
      </c>
      <c r="D20" s="254">
        <f t="shared" si="0"/>
        <v>4000</v>
      </c>
    </row>
    <row r="21" spans="1:10" x14ac:dyDescent="0.2">
      <c r="A21" t="s">
        <v>439</v>
      </c>
      <c r="B21" s="290">
        <v>1</v>
      </c>
      <c r="C21" s="254">
        <v>300000</v>
      </c>
      <c r="D21" s="254">
        <f t="shared" si="0"/>
        <v>300000</v>
      </c>
    </row>
    <row r="22" spans="1:10" x14ac:dyDescent="0.2">
      <c r="A22" t="s">
        <v>435</v>
      </c>
      <c r="B22" s="290">
        <v>50</v>
      </c>
      <c r="C22" s="254">
        <v>200</v>
      </c>
      <c r="D22" s="254">
        <f t="shared" si="0"/>
        <v>10000</v>
      </c>
    </row>
    <row r="23" spans="1:10" x14ac:dyDescent="0.2">
      <c r="A23" t="s">
        <v>440</v>
      </c>
      <c r="B23" s="290">
        <v>5</v>
      </c>
      <c r="C23" s="254">
        <v>500</v>
      </c>
      <c r="D23" s="254">
        <f t="shared" si="0"/>
        <v>2500</v>
      </c>
    </row>
    <row r="24" spans="1:10" x14ac:dyDescent="0.2">
      <c r="A24" s="283" t="s">
        <v>459</v>
      </c>
      <c r="B24" s="294"/>
      <c r="C24" s="293"/>
      <c r="D24" s="292">
        <f>+SUM(D18:D23)</f>
        <v>356500</v>
      </c>
    </row>
    <row r="27" spans="1:10" x14ac:dyDescent="0.2">
      <c r="A27" t="s">
        <v>418</v>
      </c>
      <c r="B27" t="s">
        <v>430</v>
      </c>
      <c r="C27" t="s">
        <v>427</v>
      </c>
      <c r="D27" t="s">
        <v>158</v>
      </c>
      <c r="E27" t="s">
        <v>428</v>
      </c>
      <c r="F27" t="s">
        <v>458</v>
      </c>
      <c r="J27">
        <f>+J36/0.025</f>
        <v>3015200</v>
      </c>
    </row>
    <row r="28" spans="1:10" x14ac:dyDescent="0.2">
      <c r="A28" t="s">
        <v>419</v>
      </c>
      <c r="B28" s="291">
        <f>0.008*1.1</f>
        <v>8.8000000000000005E-3</v>
      </c>
      <c r="C28" s="291" t="s">
        <v>429</v>
      </c>
      <c r="D28" s="291"/>
      <c r="E28" s="291">
        <v>17.399999999999999</v>
      </c>
      <c r="F28" s="291">
        <f>+E28*B28</f>
        <v>0.15312000000000001</v>
      </c>
    </row>
    <row r="29" spans="1:10" x14ac:dyDescent="0.2">
      <c r="A29" t="s">
        <v>420</v>
      </c>
      <c r="B29" s="291">
        <f>0.008*1.1</f>
        <v>8.8000000000000005E-3</v>
      </c>
      <c r="C29" s="291" t="s">
        <v>429</v>
      </c>
      <c r="D29" s="291"/>
      <c r="E29" s="291">
        <v>20</v>
      </c>
      <c r="F29" s="291">
        <f t="shared" ref="F29:F35" si="1">+E29*B29</f>
        <v>0.17600000000000002</v>
      </c>
      <c r="I29">
        <v>2451409</v>
      </c>
    </row>
    <row r="30" spans="1:10" x14ac:dyDescent="0.2">
      <c r="A30" t="s">
        <v>421</v>
      </c>
      <c r="B30" s="291">
        <f>0.008*1.1</f>
        <v>8.8000000000000005E-3</v>
      </c>
      <c r="C30" s="291" t="s">
        <v>429</v>
      </c>
      <c r="D30" s="291"/>
      <c r="E30" s="291">
        <v>22</v>
      </c>
      <c r="F30" s="291">
        <f t="shared" si="1"/>
        <v>0.19360000000000002</v>
      </c>
    </row>
    <row r="31" spans="1:10" x14ac:dyDescent="0.2">
      <c r="A31" t="s">
        <v>422</v>
      </c>
      <c r="B31" s="291">
        <f>0.001*1.1</f>
        <v>1.1000000000000001E-3</v>
      </c>
      <c r="C31" s="291" t="s">
        <v>429</v>
      </c>
      <c r="D31" s="291"/>
      <c r="E31" s="291"/>
      <c r="F31" s="291">
        <f t="shared" si="1"/>
        <v>0</v>
      </c>
    </row>
    <row r="32" spans="1:10" x14ac:dyDescent="0.2">
      <c r="A32" t="s">
        <v>423</v>
      </c>
      <c r="B32" s="291"/>
      <c r="C32" s="291" t="s">
        <v>429</v>
      </c>
      <c r="D32" s="291"/>
      <c r="E32" s="291"/>
      <c r="F32" s="291">
        <f t="shared" si="1"/>
        <v>0</v>
      </c>
    </row>
    <row r="33" spans="1:10" x14ac:dyDescent="0.2">
      <c r="A33" t="s">
        <v>424</v>
      </c>
      <c r="B33" s="291"/>
      <c r="C33" s="291" t="s">
        <v>429</v>
      </c>
      <c r="D33" s="291"/>
      <c r="E33" s="291"/>
      <c r="F33" s="291">
        <f t="shared" si="1"/>
        <v>0</v>
      </c>
    </row>
    <row r="34" spans="1:10" x14ac:dyDescent="0.2">
      <c r="A34" t="s">
        <v>425</v>
      </c>
      <c r="B34" s="291"/>
      <c r="C34" s="291" t="s">
        <v>429</v>
      </c>
      <c r="D34" s="291"/>
      <c r="E34" s="291"/>
      <c r="F34" s="291">
        <f t="shared" si="1"/>
        <v>0</v>
      </c>
    </row>
    <row r="35" spans="1:10" x14ac:dyDescent="0.2">
      <c r="A35" t="s">
        <v>426</v>
      </c>
      <c r="B35" s="291"/>
      <c r="C35" s="291" t="s">
        <v>429</v>
      </c>
      <c r="D35" s="291"/>
      <c r="E35" s="291"/>
      <c r="F35" s="291">
        <f t="shared" si="1"/>
        <v>0</v>
      </c>
    </row>
    <row r="36" spans="1:10" x14ac:dyDescent="0.2">
      <c r="F36">
        <f>+SUM(F28:F30)</f>
        <v>0.52272000000000007</v>
      </c>
      <c r="G36">
        <f>+F36/25</f>
        <v>2.0908800000000002E-2</v>
      </c>
      <c r="H36">
        <f>+G36*1000</f>
        <v>20.908800000000003</v>
      </c>
      <c r="I36">
        <f>+H36*J36</f>
        <v>1576105.3440000003</v>
      </c>
      <c r="J36">
        <v>75380</v>
      </c>
    </row>
    <row r="37" spans="1:10" x14ac:dyDescent="0.2">
      <c r="A37" t="s">
        <v>58</v>
      </c>
      <c r="B37">
        <v>630000</v>
      </c>
      <c r="I37">
        <f>+H36*J37</f>
        <v>1442121.7536000002</v>
      </c>
      <c r="J37">
        <v>68972</v>
      </c>
    </row>
    <row r="38" spans="1:10" x14ac:dyDescent="0.2">
      <c r="I38">
        <f>+H36*J38</f>
        <v>9006.4656000000014</v>
      </c>
      <c r="J38">
        <v>430.75</v>
      </c>
    </row>
    <row r="44" spans="1:10" x14ac:dyDescent="0.2">
      <c r="B44" s="12"/>
    </row>
    <row r="45" spans="1:10" x14ac:dyDescent="0.2">
      <c r="A45" s="12" t="s">
        <v>457</v>
      </c>
    </row>
    <row r="46" spans="1:10" x14ac:dyDescent="0.2">
      <c r="A46" s="284" t="s">
        <v>456</v>
      </c>
      <c r="B46" s="285" t="s">
        <v>449</v>
      </c>
      <c r="C46" s="286" t="s">
        <v>158</v>
      </c>
    </row>
    <row r="47" spans="1:10" x14ac:dyDescent="0.2">
      <c r="A47" s="282" t="s">
        <v>436</v>
      </c>
      <c r="B47" s="281">
        <v>17500</v>
      </c>
      <c r="C47" s="295">
        <f>+B47*InfoInicial!B23*12</f>
        <v>1470000</v>
      </c>
    </row>
    <row r="48" spans="1:10" x14ac:dyDescent="0.2">
      <c r="A48" s="282" t="s">
        <v>437</v>
      </c>
      <c r="B48" s="281">
        <v>27000</v>
      </c>
      <c r="C48" s="295">
        <f>+B48*InfoInicial!B24*12</f>
        <v>324000</v>
      </c>
    </row>
    <row r="49" spans="1:10" x14ac:dyDescent="0.2">
      <c r="A49" s="287" t="s">
        <v>438</v>
      </c>
      <c r="B49" s="296">
        <v>43000</v>
      </c>
      <c r="C49" s="297">
        <f>+B49*InfoInicial!B25*12</f>
        <v>1032000</v>
      </c>
    </row>
    <row r="50" spans="1:10" x14ac:dyDescent="0.2">
      <c r="A50" s="287" t="s">
        <v>158</v>
      </c>
      <c r="B50" s="296"/>
      <c r="C50" s="297">
        <f>SUBTOTAL(109,C47:C49)</f>
        <v>2826000</v>
      </c>
    </row>
    <row r="53" spans="1:10" x14ac:dyDescent="0.2">
      <c r="E53" t="s">
        <v>448</v>
      </c>
      <c r="G53" t="s">
        <v>444</v>
      </c>
    </row>
    <row r="54" spans="1:10" x14ac:dyDescent="0.2">
      <c r="A54" t="s">
        <v>447</v>
      </c>
      <c r="B54" t="s">
        <v>441</v>
      </c>
      <c r="C54" t="s">
        <v>446</v>
      </c>
      <c r="D54">
        <f>+$J$54*C55</f>
        <v>352</v>
      </c>
      <c r="F54" t="s">
        <v>443</v>
      </c>
      <c r="J54">
        <f>8*20</f>
        <v>160</v>
      </c>
    </row>
    <row r="55" spans="1:10" x14ac:dyDescent="0.2">
      <c r="B55" t="s">
        <v>442</v>
      </c>
      <c r="C55">
        <v>2.2000000000000002</v>
      </c>
      <c r="D55">
        <f>+$J$54*C56</f>
        <v>835.19999999999993</v>
      </c>
    </row>
    <row r="56" spans="1:10" x14ac:dyDescent="0.2">
      <c r="B56" t="s">
        <v>404</v>
      </c>
      <c r="C56">
        <v>5.22</v>
      </c>
      <c r="D56">
        <f>+$J$54*C57</f>
        <v>16</v>
      </c>
    </row>
    <row r="57" spans="1:10" x14ac:dyDescent="0.2">
      <c r="B57" t="s">
        <v>405</v>
      </c>
      <c r="C57">
        <v>0.1</v>
      </c>
      <c r="D57">
        <f>+$J$54*C58</f>
        <v>640</v>
      </c>
      <c r="G57">
        <v>8</v>
      </c>
      <c r="H57" t="s">
        <v>445</v>
      </c>
    </row>
    <row r="58" spans="1:10" x14ac:dyDescent="0.2">
      <c r="B58" t="s">
        <v>406</v>
      </c>
      <c r="C58">
        <v>4</v>
      </c>
      <c r="D58">
        <f>+$J$54*C59</f>
        <v>320</v>
      </c>
    </row>
    <row r="59" spans="1:10" x14ac:dyDescent="0.2">
      <c r="B59" t="s">
        <v>407</v>
      </c>
      <c r="C59">
        <v>2</v>
      </c>
      <c r="D59">
        <f>+SUM(D54:D58)</f>
        <v>2163.1999999999998</v>
      </c>
      <c r="E59">
        <v>2.504</v>
      </c>
      <c r="G59">
        <f>+D59*E59</f>
        <v>5416.6527999999998</v>
      </c>
    </row>
    <row r="63" spans="1:10" x14ac:dyDescent="0.2">
      <c r="A63" t="s">
        <v>128</v>
      </c>
      <c r="B63">
        <f>70000*12</f>
        <v>840000</v>
      </c>
    </row>
    <row r="64" spans="1:10" x14ac:dyDescent="0.2">
      <c r="A64" t="s">
        <v>453</v>
      </c>
      <c r="B64">
        <v>28500</v>
      </c>
    </row>
    <row r="65" spans="1:11" ht="13.5" thickBot="1" x14ac:dyDescent="0.25"/>
    <row r="66" spans="1:11" ht="13.5" thickBot="1" x14ac:dyDescent="0.25">
      <c r="A66" s="370" t="s">
        <v>551</v>
      </c>
      <c r="B66" s="255"/>
      <c r="D66" s="370" t="s">
        <v>554</v>
      </c>
      <c r="E66" s="371"/>
      <c r="F66" s="372" t="s">
        <v>54</v>
      </c>
      <c r="G66" s="372" t="s">
        <v>534</v>
      </c>
      <c r="I66" s="361" t="s">
        <v>557</v>
      </c>
      <c r="J66" s="362" t="s">
        <v>54</v>
      </c>
      <c r="K66" s="363" t="s">
        <v>534</v>
      </c>
    </row>
    <row r="67" spans="1:11" x14ac:dyDescent="0.2">
      <c r="A67" s="371" t="s">
        <v>552</v>
      </c>
      <c r="B67" s="377">
        <f>'E-Costos'!B88*0.03</f>
        <v>357660</v>
      </c>
      <c r="D67" s="371" t="s">
        <v>555</v>
      </c>
      <c r="E67" s="373">
        <v>8.0000000000000002E-3</v>
      </c>
      <c r="F67" s="374">
        <f>+$C$12*0.05*$E$67</f>
        <v>3946.8</v>
      </c>
      <c r="G67" s="374">
        <f>+$C$12*0.05*$E$67</f>
        <v>3946.8</v>
      </c>
      <c r="I67" s="364" t="s">
        <v>555</v>
      </c>
      <c r="J67" s="365">
        <f>+$C$12*0.05*$E$67</f>
        <v>3946.8</v>
      </c>
      <c r="K67" s="365">
        <f>+$C$12*0.05*$E$67</f>
        <v>3946.8</v>
      </c>
    </row>
    <row r="68" spans="1:11" x14ac:dyDescent="0.2">
      <c r="A68" s="371" t="s">
        <v>553</v>
      </c>
      <c r="B68" s="377">
        <f>'E-Costos'!C88*0.03</f>
        <v>411150</v>
      </c>
      <c r="D68" s="371" t="s">
        <v>556</v>
      </c>
      <c r="E68" s="373">
        <v>0.01</v>
      </c>
      <c r="F68" s="374">
        <f>+$C$12*0.05*0.01</f>
        <v>4933.5</v>
      </c>
      <c r="G68" s="374">
        <f>+$C$12*0.05*0.01</f>
        <v>4933.5</v>
      </c>
      <c r="I68" s="366" t="s">
        <v>556</v>
      </c>
      <c r="J68" s="365">
        <f>+$C$12*0.05*0.01</f>
        <v>4933.5</v>
      </c>
      <c r="K68" s="365">
        <f>+$C$12*0.05*0.01</f>
        <v>4933.5</v>
      </c>
    </row>
    <row r="69" spans="1:11" ht="13.5" thickBot="1" x14ac:dyDescent="0.25">
      <c r="A69" s="371" t="s">
        <v>459</v>
      </c>
      <c r="B69" s="377">
        <f>SUM(B67:B68)</f>
        <v>768810</v>
      </c>
      <c r="D69" s="372" t="s">
        <v>158</v>
      </c>
      <c r="E69" s="375"/>
      <c r="F69" s="376">
        <f>SUM(F67:F68)</f>
        <v>8880.2999999999993</v>
      </c>
      <c r="G69" s="376">
        <f>SUM(G67:G68)</f>
        <v>8880.2999999999993</v>
      </c>
      <c r="I69" s="367" t="s">
        <v>558</v>
      </c>
      <c r="J69" s="365">
        <f>0.012*'E-Costos'!B88</f>
        <v>143064</v>
      </c>
      <c r="K69" s="365">
        <f>0.012*'E-Costos'!C88</f>
        <v>164460</v>
      </c>
    </row>
    <row r="70" spans="1:11" ht="13.5" thickBot="1" x14ac:dyDescent="0.25">
      <c r="I70" s="368" t="s">
        <v>158</v>
      </c>
      <c r="J70" s="369">
        <f>SUM(J67:J69)</f>
        <v>151944.29999999999</v>
      </c>
      <c r="K70" s="369">
        <f>SUM(K67:K69)</f>
        <v>173340.3</v>
      </c>
    </row>
    <row r="72" spans="1:11" x14ac:dyDescent="0.2">
      <c r="A72" s="291" t="s">
        <v>454</v>
      </c>
      <c r="B72" s="291" t="s">
        <v>408</v>
      </c>
      <c r="C72" s="291" t="s">
        <v>456</v>
      </c>
      <c r="E72" t="s">
        <v>456</v>
      </c>
      <c r="F72" t="s">
        <v>54</v>
      </c>
      <c r="G72" t="s">
        <v>534</v>
      </c>
    </row>
    <row r="73" spans="1:11" x14ac:dyDescent="0.2">
      <c r="A73" s="291" t="s">
        <v>54</v>
      </c>
      <c r="B73" s="300">
        <v>2478819</v>
      </c>
      <c r="C73" s="348">
        <f>0.025*B73</f>
        <v>61970.475000000006</v>
      </c>
      <c r="E73" t="s">
        <v>475</v>
      </c>
      <c r="F73">
        <v>431</v>
      </c>
      <c r="G73">
        <v>431</v>
      </c>
    </row>
    <row r="74" spans="1:11" x14ac:dyDescent="0.2">
      <c r="A74" s="291" t="s">
        <v>455</v>
      </c>
      <c r="B74" s="300">
        <v>2741000</v>
      </c>
      <c r="C74" s="348">
        <f>0.025*B74</f>
        <v>68525</v>
      </c>
    </row>
    <row r="76" spans="1:11" x14ac:dyDescent="0.2">
      <c r="A76" t="s">
        <v>463</v>
      </c>
      <c r="B76" t="s">
        <v>408</v>
      </c>
    </row>
    <row r="77" spans="1:11" x14ac:dyDescent="0.2">
      <c r="A77" t="s">
        <v>53</v>
      </c>
      <c r="B77" s="299">
        <v>6500</v>
      </c>
    </row>
    <row r="78" spans="1:11" x14ac:dyDescent="0.2">
      <c r="A78" t="s">
        <v>464</v>
      </c>
      <c r="B78" s="299">
        <v>6555</v>
      </c>
    </row>
    <row r="80" spans="1:11" x14ac:dyDescent="0.2">
      <c r="A80" t="s">
        <v>465</v>
      </c>
      <c r="B80" t="s">
        <v>466</v>
      </c>
    </row>
    <row r="81" spans="1:9" ht="13.5" thickBot="1" x14ac:dyDescent="0.25">
      <c r="A81" t="s">
        <v>467</v>
      </c>
      <c r="B81" s="299">
        <v>27410</v>
      </c>
    </row>
    <row r="82" spans="1:9" ht="32.25" customHeight="1" x14ac:dyDescent="0.2">
      <c r="D82" s="383" t="s">
        <v>471</v>
      </c>
      <c r="E82" s="384"/>
      <c r="F82" s="385"/>
    </row>
    <row r="83" spans="1:9" x14ac:dyDescent="0.2">
      <c r="A83" t="s">
        <v>469</v>
      </c>
      <c r="B83" t="s">
        <v>470</v>
      </c>
      <c r="D83" t="s">
        <v>474</v>
      </c>
      <c r="E83" s="291" t="s">
        <v>472</v>
      </c>
      <c r="F83" s="291" t="s">
        <v>473</v>
      </c>
    </row>
    <row r="84" spans="1:9" x14ac:dyDescent="0.2">
      <c r="A84" s="12" t="s">
        <v>468</v>
      </c>
      <c r="B84">
        <f>(E89/F89)*100</f>
        <v>10.003648303538855</v>
      </c>
      <c r="D84" s="291">
        <v>1</v>
      </c>
      <c r="E84" s="300">
        <v>2500</v>
      </c>
      <c r="F84" s="300">
        <v>72880</v>
      </c>
    </row>
    <row r="85" spans="1:9" x14ac:dyDescent="0.2">
      <c r="D85" s="291">
        <v>2</v>
      </c>
      <c r="E85" s="300">
        <v>1100</v>
      </c>
      <c r="F85" s="300">
        <v>71780</v>
      </c>
    </row>
    <row r="86" spans="1:9" x14ac:dyDescent="0.2">
      <c r="D86" s="291">
        <v>3</v>
      </c>
      <c r="E86" s="300">
        <v>500</v>
      </c>
      <c r="F86" s="300">
        <v>71280</v>
      </c>
    </row>
    <row r="87" spans="1:9" x14ac:dyDescent="0.2">
      <c r="D87" s="291">
        <v>4</v>
      </c>
      <c r="E87" s="300">
        <v>2200</v>
      </c>
      <c r="F87" s="300">
        <v>69080</v>
      </c>
    </row>
    <row r="88" spans="1:9" x14ac:dyDescent="0.2">
      <c r="D88" s="291">
        <v>5</v>
      </c>
      <c r="E88" s="300">
        <v>555</v>
      </c>
      <c r="F88" s="300">
        <v>68525</v>
      </c>
    </row>
    <row r="89" spans="1:9" x14ac:dyDescent="0.2">
      <c r="D89" t="s">
        <v>459</v>
      </c>
      <c r="E89" s="300">
        <f>SUM(E84:E88)</f>
        <v>6855</v>
      </c>
      <c r="F89" s="299">
        <f>+F88</f>
        <v>68525</v>
      </c>
    </row>
    <row r="91" spans="1:9" x14ac:dyDescent="0.2">
      <c r="A91" s="291" t="s">
        <v>475</v>
      </c>
      <c r="B91" s="291" t="s">
        <v>476</v>
      </c>
      <c r="C91" t="s">
        <v>478</v>
      </c>
      <c r="E91" s="330" t="s">
        <v>481</v>
      </c>
      <c r="F91" t="s">
        <v>499</v>
      </c>
      <c r="G91" t="s">
        <v>498</v>
      </c>
      <c r="H91" s="291" t="s">
        <v>54</v>
      </c>
      <c r="I91" s="291" t="s">
        <v>95</v>
      </c>
    </row>
    <row r="92" spans="1:9" ht="13.5" thickBot="1" x14ac:dyDescent="0.25">
      <c r="A92" s="291" t="s">
        <v>477</v>
      </c>
      <c r="B92" s="291">
        <v>391.6</v>
      </c>
      <c r="C92" t="s">
        <v>479</v>
      </c>
      <c r="E92" s="291"/>
      <c r="F92" t="s">
        <v>480</v>
      </c>
      <c r="G92" s="306" t="s">
        <v>482</v>
      </c>
      <c r="H92" s="306">
        <f>+((B47*6)/N129)</f>
        <v>1.7614494212380474</v>
      </c>
      <c r="I92" s="325">
        <f>(B47*6*0.9)/N128</f>
        <v>1.3790587376869756</v>
      </c>
    </row>
    <row r="93" spans="1:9" ht="13.5" thickBot="1" x14ac:dyDescent="0.25">
      <c r="A93" s="291" t="s">
        <v>472</v>
      </c>
      <c r="B93" s="291">
        <v>39.159999999999997</v>
      </c>
      <c r="C93" t="s">
        <v>479</v>
      </c>
      <c r="E93" s="291"/>
      <c r="F93" s="309" t="s">
        <v>483</v>
      </c>
      <c r="G93" s="326">
        <f>(I92*B92)/2</f>
        <v>270.01970083910982</v>
      </c>
      <c r="H93" t="s">
        <v>497</v>
      </c>
    </row>
    <row r="94" spans="1:9" ht="13.5" thickBot="1" x14ac:dyDescent="0.25">
      <c r="A94" s="303" t="s">
        <v>459</v>
      </c>
      <c r="B94" s="304">
        <f>SUM(B92:B93)</f>
        <v>430.76</v>
      </c>
      <c r="C94" s="305" t="s">
        <v>479</v>
      </c>
      <c r="E94" s="291"/>
      <c r="F94" s="309" t="s">
        <v>483</v>
      </c>
      <c r="G94" s="310">
        <f>(B92*H92/2)</f>
        <v>344.89179667840972</v>
      </c>
      <c r="H94" t="s">
        <v>496</v>
      </c>
    </row>
    <row r="95" spans="1:9" x14ac:dyDescent="0.2">
      <c r="A95" s="291"/>
      <c r="B95" s="291"/>
      <c r="E95" s="291"/>
    </row>
    <row r="96" spans="1:9" ht="13.5" thickBot="1" x14ac:dyDescent="0.25">
      <c r="A96" s="291" t="s">
        <v>484</v>
      </c>
      <c r="B96" s="291" t="s">
        <v>485</v>
      </c>
      <c r="C96" t="s">
        <v>486</v>
      </c>
      <c r="E96" s="330" t="s">
        <v>501</v>
      </c>
    </row>
    <row r="97" spans="1:9" ht="14.25" x14ac:dyDescent="0.2">
      <c r="A97" s="291" t="s">
        <v>479</v>
      </c>
      <c r="B97" s="307">
        <v>68972</v>
      </c>
      <c r="C97" s="308">
        <v>75380</v>
      </c>
      <c r="E97" s="311"/>
      <c r="F97" s="312" t="s">
        <v>54</v>
      </c>
      <c r="G97" s="312" t="s">
        <v>487</v>
      </c>
      <c r="H97" s="313" t="s">
        <v>488</v>
      </c>
    </row>
    <row r="98" spans="1:9" x14ac:dyDescent="0.2">
      <c r="E98" s="314" t="s">
        <v>489</v>
      </c>
      <c r="F98" s="64">
        <f>+'E-Inv AF y Am'!$D$56*0.9</f>
        <v>592697.99301222526</v>
      </c>
      <c r="G98" s="64">
        <f>+'E-Inv AF y Am'!$D$56*0.9</f>
        <v>592697.99301222526</v>
      </c>
      <c r="H98" s="64">
        <f>+'E-Inv AF y Am'!$E$56*0.9</f>
        <v>589295.39301222528</v>
      </c>
    </row>
    <row r="99" spans="1:9" x14ac:dyDescent="0.2">
      <c r="E99" s="314" t="s">
        <v>490</v>
      </c>
      <c r="F99" s="315">
        <f>(F98/N129)</f>
        <v>9.9429289215270131</v>
      </c>
      <c r="G99" s="315">
        <f>(G98/N128)</f>
        <v>8.6493687415136851</v>
      </c>
      <c r="H99" s="316">
        <f>(H98/N128)</f>
        <v>8.5997138710284613</v>
      </c>
    </row>
    <row r="100" spans="1:9" ht="13.5" thickBot="1" x14ac:dyDescent="0.25">
      <c r="E100" s="317" t="s">
        <v>491</v>
      </c>
      <c r="F100" s="318">
        <f>(B92*F99/2)</f>
        <v>1946.8254828349893</v>
      </c>
      <c r="G100" s="318">
        <f>(B92*G99/2)</f>
        <v>1693.5463995883797</v>
      </c>
      <c r="H100" s="319">
        <f>(H99*B92/2)</f>
        <v>1683.8239759473729</v>
      </c>
    </row>
    <row r="101" spans="1:9" ht="13.5" thickBot="1" x14ac:dyDescent="0.25">
      <c r="A101" t="s">
        <v>522</v>
      </c>
    </row>
    <row r="102" spans="1:9" x14ac:dyDescent="0.2">
      <c r="A102" t="s">
        <v>53</v>
      </c>
      <c r="B102">
        <v>6500</v>
      </c>
      <c r="E102" s="329" t="s">
        <v>500</v>
      </c>
      <c r="F102" t="s">
        <v>480</v>
      </c>
      <c r="G102" s="288" t="s">
        <v>492</v>
      </c>
      <c r="H102" s="321">
        <f>(B47*0.9)/B97</f>
        <v>0.22835353476773182</v>
      </c>
      <c r="I102" s="291" t="s">
        <v>493</v>
      </c>
    </row>
    <row r="103" spans="1:9" ht="13.5" thickBot="1" x14ac:dyDescent="0.25">
      <c r="A103" t="s">
        <v>523</v>
      </c>
      <c r="B103">
        <v>6555</v>
      </c>
      <c r="G103" s="327" t="s">
        <v>492</v>
      </c>
      <c r="H103" s="328">
        <f>(B47)/C97</f>
        <v>0.2321570708410719</v>
      </c>
      <c r="I103" s="291" t="s">
        <v>494</v>
      </c>
    </row>
    <row r="104" spans="1:9" ht="13.5" thickBot="1" x14ac:dyDescent="0.25"/>
    <row r="105" spans="1:9" x14ac:dyDescent="0.2">
      <c r="A105" t="s">
        <v>526</v>
      </c>
      <c r="B105">
        <v>27410</v>
      </c>
      <c r="F105" s="320" t="s">
        <v>495</v>
      </c>
      <c r="G105" s="289">
        <f>(H102*B92)/2</f>
        <v>44.71162210752189</v>
      </c>
      <c r="H105" s="321" t="s">
        <v>493</v>
      </c>
    </row>
    <row r="106" spans="1:9" ht="13.5" thickBot="1" x14ac:dyDescent="0.25">
      <c r="F106" s="322" t="s">
        <v>495</v>
      </c>
      <c r="G106" s="323">
        <f>(H103*B92)/2</f>
        <v>45.45635447068188</v>
      </c>
      <c r="H106" s="324" t="s">
        <v>494</v>
      </c>
    </row>
    <row r="108" spans="1:9" x14ac:dyDescent="0.2">
      <c r="E108" s="12" t="s">
        <v>502</v>
      </c>
    </row>
    <row r="110" spans="1:9" x14ac:dyDescent="0.2">
      <c r="E110" s="284" t="s">
        <v>507</v>
      </c>
      <c r="F110" s="285" t="s">
        <v>508</v>
      </c>
      <c r="G110" s="286" t="s">
        <v>509</v>
      </c>
    </row>
    <row r="111" spans="1:9" x14ac:dyDescent="0.2">
      <c r="E111" s="282" t="s">
        <v>480</v>
      </c>
      <c r="F111" s="255" t="s">
        <v>503</v>
      </c>
      <c r="G111" s="283">
        <f>(('E-Costos'!B12)/N129)</f>
        <v>3.6569748102667337</v>
      </c>
    </row>
    <row r="112" spans="1:9" x14ac:dyDescent="0.2">
      <c r="E112" s="282"/>
      <c r="F112" s="255" t="s">
        <v>504</v>
      </c>
      <c r="G112" s="283">
        <f>(('E-Costos'!C12)/N128)</f>
        <v>3.5346753973002554</v>
      </c>
    </row>
    <row r="113" spans="4:15" x14ac:dyDescent="0.2">
      <c r="E113" s="282"/>
      <c r="F113" s="331" t="s">
        <v>505</v>
      </c>
      <c r="G113" s="332">
        <f>(G111*B92)/2</f>
        <v>716.03566785022645</v>
      </c>
    </row>
    <row r="114" spans="4:15" x14ac:dyDescent="0.2">
      <c r="E114" s="287"/>
      <c r="F114" s="333" t="s">
        <v>506</v>
      </c>
      <c r="G114" s="334">
        <f>(G112*B92)/2</f>
        <v>692.08944279139007</v>
      </c>
    </row>
    <row r="117" spans="4:15" x14ac:dyDescent="0.2">
      <c r="E117" s="12" t="s">
        <v>510</v>
      </c>
    </row>
    <row r="119" spans="4:15" x14ac:dyDescent="0.2">
      <c r="E119" s="291" t="s">
        <v>507</v>
      </c>
      <c r="F119" s="291" t="s">
        <v>514</v>
      </c>
    </row>
    <row r="120" spans="4:15" x14ac:dyDescent="0.2">
      <c r="E120" s="291" t="s">
        <v>513</v>
      </c>
      <c r="F120" s="291">
        <f>('E-Costos'!B13/N129)</f>
        <v>11.414192249622547</v>
      </c>
    </row>
    <row r="121" spans="4:15" x14ac:dyDescent="0.2">
      <c r="E121" s="291" t="s">
        <v>515</v>
      </c>
      <c r="F121" s="291">
        <f>('E-Costos'!C13/N128)</f>
        <v>11.032469901495805</v>
      </c>
    </row>
    <row r="122" spans="4:15" x14ac:dyDescent="0.2">
      <c r="E122" s="291" t="s">
        <v>511</v>
      </c>
      <c r="F122" s="291">
        <f>(F120*B92)/2</f>
        <v>2234.8988424760946</v>
      </c>
    </row>
    <row r="123" spans="4:15" x14ac:dyDescent="0.2">
      <c r="D123" t="s">
        <v>498</v>
      </c>
      <c r="E123" s="291" t="s">
        <v>512</v>
      </c>
      <c r="F123" s="291">
        <f>(F121*B92)/2</f>
        <v>2160.1576067128785</v>
      </c>
    </row>
    <row r="124" spans="4:15" ht="13.5" thickBot="1" x14ac:dyDescent="0.25"/>
    <row r="125" spans="4:15" ht="12.75" customHeight="1" x14ac:dyDescent="0.2">
      <c r="E125" s="12" t="s">
        <v>516</v>
      </c>
      <c r="I125" s="386" t="s">
        <v>535</v>
      </c>
      <c r="J125" s="387"/>
      <c r="K125" s="388"/>
    </row>
    <row r="126" spans="4:15" ht="13.5" thickBot="1" x14ac:dyDescent="0.25">
      <c r="I126" s="389"/>
      <c r="J126" s="390"/>
      <c r="K126" s="391"/>
    </row>
    <row r="127" spans="4:15" x14ac:dyDescent="0.2">
      <c r="E127" s="291" t="s">
        <v>507</v>
      </c>
      <c r="F127" s="291" t="s">
        <v>514</v>
      </c>
      <c r="I127" t="s">
        <v>527</v>
      </c>
      <c r="K127" s="353">
        <f>+B97</f>
        <v>68972</v>
      </c>
      <c r="M127" t="s">
        <v>531</v>
      </c>
      <c r="N127" t="s">
        <v>550</v>
      </c>
      <c r="O127" t="s">
        <v>11</v>
      </c>
    </row>
    <row r="128" spans="4:15" x14ac:dyDescent="0.2">
      <c r="E128" s="291" t="s">
        <v>517</v>
      </c>
      <c r="F128" s="359">
        <f>('E-Costos'!B14)/N129</f>
        <v>0.3824861600402617</v>
      </c>
      <c r="I128" t="s">
        <v>528</v>
      </c>
      <c r="K128" s="354">
        <f>+(C97/N128)</f>
        <v>1.1000364830353886</v>
      </c>
      <c r="M128">
        <f>25/1000</f>
        <v>2.5000000000000001E-2</v>
      </c>
      <c r="N128" s="354">
        <f>+M128*I2</f>
        <v>68525</v>
      </c>
      <c r="O128" t="s">
        <v>533</v>
      </c>
    </row>
    <row r="129" spans="5:15" x14ac:dyDescent="0.2">
      <c r="E129" s="291" t="s">
        <v>518</v>
      </c>
      <c r="F129" s="359">
        <f>('E-Costos'!C14)/N128</f>
        <v>0.41590660342940533</v>
      </c>
      <c r="I129" t="s">
        <v>529</v>
      </c>
      <c r="K129" s="354">
        <f>+N129*K128</f>
        <v>65573.174753739513</v>
      </c>
      <c r="M129">
        <f>25/1000</f>
        <v>2.5000000000000001E-2</v>
      </c>
      <c r="N129" s="299">
        <f>+(M128*H2)</f>
        <v>59610</v>
      </c>
      <c r="O129" t="s">
        <v>532</v>
      </c>
    </row>
    <row r="130" spans="5:15" x14ac:dyDescent="0.2">
      <c r="E130" s="291" t="s">
        <v>519</v>
      </c>
      <c r="F130" s="291">
        <f>(F128*B92)/2</f>
        <v>74.89079013588325</v>
      </c>
      <c r="I130" t="s">
        <v>530</v>
      </c>
      <c r="K130">
        <f>+F73</f>
        <v>431</v>
      </c>
    </row>
    <row r="131" spans="5:15" x14ac:dyDescent="0.2">
      <c r="E131" s="291" t="s">
        <v>520</v>
      </c>
      <c r="F131" s="291">
        <f>(F129*B92)/2</f>
        <v>81.434512951477572</v>
      </c>
    </row>
    <row r="132" spans="5:15" x14ac:dyDescent="0.2">
      <c r="I132" t="s">
        <v>536</v>
      </c>
      <c r="K132" s="354">
        <f>+K127-K129-K130</f>
        <v>2967.8252462604869</v>
      </c>
    </row>
    <row r="133" spans="5:15" x14ac:dyDescent="0.2">
      <c r="E133" s="12" t="s">
        <v>521</v>
      </c>
    </row>
    <row r="135" spans="5:15" x14ac:dyDescent="0.2">
      <c r="E135" s="291" t="s">
        <v>507</v>
      </c>
      <c r="F135" s="291" t="s">
        <v>514</v>
      </c>
    </row>
    <row r="136" spans="5:15" x14ac:dyDescent="0.2">
      <c r="E136" s="291" t="s">
        <v>549</v>
      </c>
      <c r="F136" s="359">
        <f>('E-Costos'!B15)/N129</f>
        <v>1.1917866129843988</v>
      </c>
      <c r="I136" s="355" t="s">
        <v>537</v>
      </c>
      <c r="J136" s="356">
        <f>+'E-Costos'!B7/Datos!N129</f>
        <v>24.192614554604933</v>
      </c>
    </row>
    <row r="137" spans="5:15" x14ac:dyDescent="0.2">
      <c r="E137" s="291" t="s">
        <v>548</v>
      </c>
      <c r="F137" s="335">
        <f>('E-Costos'!B15)/N128</f>
        <v>1.0367369573148488</v>
      </c>
      <c r="I137" s="355" t="s">
        <v>538</v>
      </c>
      <c r="J137" s="356">
        <f>+'E-Costos'!C7/Datos!N128</f>
        <v>23.000442816490335</v>
      </c>
    </row>
    <row r="138" spans="5:15" x14ac:dyDescent="0.2">
      <c r="E138" s="291" t="s">
        <v>519</v>
      </c>
      <c r="F138" s="291">
        <f>(F136*B92)/2</f>
        <v>233.35181882234531</v>
      </c>
      <c r="I138" s="355" t="s">
        <v>539</v>
      </c>
      <c r="J138" s="357">
        <f>+K132</f>
        <v>2967.8252462604869</v>
      </c>
    </row>
    <row r="139" spans="5:15" x14ac:dyDescent="0.2">
      <c r="E139" s="291" t="s">
        <v>520</v>
      </c>
      <c r="F139" s="291">
        <f>(F137*B92)/2</f>
        <v>202.99309624224742</v>
      </c>
      <c r="I139" s="355" t="s">
        <v>540</v>
      </c>
      <c r="J139" s="315">
        <f>+'E-Costos'!B8/Datos!N129</f>
        <v>1.5853044791142425</v>
      </c>
    </row>
    <row r="140" spans="5:15" x14ac:dyDescent="0.2">
      <c r="I140" s="355" t="s">
        <v>541</v>
      </c>
      <c r="J140" s="315">
        <f>+J139*J138</f>
        <v>4704.9066561250802</v>
      </c>
    </row>
    <row r="141" spans="5:15" x14ac:dyDescent="0.2">
      <c r="I141" s="355" t="s">
        <v>542</v>
      </c>
      <c r="J141" s="315">
        <f>+'E-Costos'!B12/Datos!N129</f>
        <v>3.6569748102667337</v>
      </c>
    </row>
    <row r="142" spans="5:15" x14ac:dyDescent="0.2">
      <c r="I142" s="355" t="s">
        <v>543</v>
      </c>
      <c r="J142" s="315">
        <f>+J141*J138</f>
        <v>10853.262166848266</v>
      </c>
    </row>
    <row r="143" spans="5:15" x14ac:dyDescent="0.2">
      <c r="I143" s="355" t="s">
        <v>544</v>
      </c>
      <c r="J143" s="315">
        <f>+F122/N129</f>
        <v>3.749201212004856E-2</v>
      </c>
    </row>
    <row r="144" spans="5:15" x14ac:dyDescent="0.2">
      <c r="I144" s="355" t="s">
        <v>545</v>
      </c>
      <c r="J144" s="358">
        <f>+J143*J138</f>
        <v>111.26974010298427</v>
      </c>
    </row>
    <row r="145" spans="9:10" x14ac:dyDescent="0.2">
      <c r="I145" s="355" t="s">
        <v>546</v>
      </c>
      <c r="J145" s="315">
        <f>+F130/N129</f>
        <v>1.2563460851515392E-3</v>
      </c>
    </row>
    <row r="146" spans="9:10" x14ac:dyDescent="0.2">
      <c r="I146" s="355" t="s">
        <v>547</v>
      </c>
      <c r="J146" s="358">
        <f>+J145*J138</f>
        <v>3.7286156295532655</v>
      </c>
    </row>
  </sheetData>
  <mergeCells count="2">
    <mergeCell ref="D82:F82"/>
    <mergeCell ref="I125:K126"/>
  </mergeCells>
  <pageMargins left="0.7" right="0.7" top="0.75" bottom="0.75" header="0.3" footer="0.3"/>
  <pageSetup orientation="portrait" horizontalDpi="0" verticalDpi="0" r:id="rId1"/>
  <tableParts count="21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4"/>
  <sheetViews>
    <sheetView zoomScale="90" zoomScaleNormal="90" workbookViewId="0">
      <selection activeCell="B4" sqref="B4"/>
    </sheetView>
  </sheetViews>
  <sheetFormatPr baseColWidth="10" defaultRowHeight="12.75" x14ac:dyDescent="0.2"/>
  <cols>
    <col min="1" max="1" width="32" style="177" customWidth="1"/>
    <col min="2" max="7" width="13.85546875" style="177" customWidth="1"/>
    <col min="8" max="8" width="17.42578125" style="177" customWidth="1"/>
    <col min="9" max="16384" width="11.42578125" style="177"/>
  </cols>
  <sheetData>
    <row r="1" spans="1:7" x14ac:dyDescent="0.2">
      <c r="A1" s="1" t="s">
        <v>0</v>
      </c>
      <c r="B1"/>
      <c r="C1"/>
      <c r="D1"/>
      <c r="E1" s="145"/>
      <c r="F1" s="2">
        <f>InfoInicial!E1</f>
        <v>8</v>
      </c>
    </row>
    <row r="2" spans="1:7" ht="15.75" x14ac:dyDescent="0.25">
      <c r="A2" s="178" t="s">
        <v>281</v>
      </c>
      <c r="B2" s="179"/>
      <c r="C2" s="179"/>
      <c r="D2" s="179"/>
      <c r="E2" s="179"/>
      <c r="F2" s="179"/>
      <c r="G2" s="180"/>
    </row>
    <row r="3" spans="1:7" x14ac:dyDescent="0.2">
      <c r="A3" s="181" t="s">
        <v>94</v>
      </c>
      <c r="B3" s="182" t="s">
        <v>54</v>
      </c>
      <c r="C3" s="182" t="s">
        <v>95</v>
      </c>
      <c r="D3" s="182" t="s">
        <v>96</v>
      </c>
      <c r="E3" s="182" t="s">
        <v>97</v>
      </c>
      <c r="F3" s="183" t="s">
        <v>98</v>
      </c>
      <c r="G3" s="184" t="s">
        <v>198</v>
      </c>
    </row>
    <row r="4" spans="1:7" x14ac:dyDescent="0.2">
      <c r="A4" s="177" t="s">
        <v>282</v>
      </c>
      <c r="B4" s="64"/>
      <c r="C4" s="64"/>
      <c r="D4" s="64"/>
      <c r="E4" s="64"/>
      <c r="F4" s="114"/>
      <c r="G4" s="65"/>
    </row>
    <row r="5" spans="1:7" x14ac:dyDescent="0.2">
      <c r="A5" s="177" t="s">
        <v>283</v>
      </c>
      <c r="B5" s="64"/>
      <c r="C5" s="64"/>
      <c r="D5" s="64"/>
      <c r="E5" s="64"/>
      <c r="F5" s="114"/>
      <c r="G5" s="65"/>
    </row>
    <row r="6" spans="1:7" x14ac:dyDescent="0.2">
      <c r="A6" s="177" t="s">
        <v>284</v>
      </c>
      <c r="B6" s="64"/>
      <c r="C6" s="64"/>
      <c r="D6" s="64"/>
      <c r="E6" s="64"/>
      <c r="F6" s="114"/>
      <c r="G6" s="65"/>
    </row>
    <row r="7" spans="1:7" x14ac:dyDescent="0.2">
      <c r="A7" s="177" t="s">
        <v>120</v>
      </c>
      <c r="B7" s="85"/>
      <c r="C7" s="85"/>
      <c r="D7" s="85"/>
      <c r="E7" s="85"/>
      <c r="F7" s="115"/>
      <c r="G7" s="86"/>
    </row>
    <row r="8" spans="1:7" x14ac:dyDescent="0.2">
      <c r="A8" s="177" t="s">
        <v>285</v>
      </c>
      <c r="B8" s="64"/>
      <c r="C8" s="64"/>
      <c r="D8" s="64"/>
      <c r="E8" s="64"/>
      <c r="F8" s="114"/>
      <c r="G8" s="65"/>
    </row>
    <row r="9" spans="1:7" x14ac:dyDescent="0.2">
      <c r="A9" s="177" t="s">
        <v>286</v>
      </c>
      <c r="B9" s="64"/>
      <c r="C9" s="64"/>
      <c r="D9" s="64"/>
      <c r="E9" s="64"/>
      <c r="F9" s="114"/>
      <c r="G9" s="65"/>
    </row>
    <row r="10" spans="1:7" x14ac:dyDescent="0.2">
      <c r="A10" s="177" t="s">
        <v>287</v>
      </c>
      <c r="B10" s="64"/>
      <c r="C10" s="64"/>
      <c r="D10" s="64"/>
      <c r="E10" s="64"/>
      <c r="F10" s="114"/>
      <c r="G10" s="65"/>
    </row>
    <row r="11" spans="1:7" x14ac:dyDescent="0.2">
      <c r="A11" s="185" t="s">
        <v>288</v>
      </c>
      <c r="B11" s="64"/>
      <c r="C11" s="64"/>
      <c r="D11" s="64"/>
      <c r="E11" s="64"/>
      <c r="F11" s="114"/>
      <c r="G11" s="65"/>
    </row>
    <row r="12" spans="1:7" x14ac:dyDescent="0.2">
      <c r="A12" s="177" t="s">
        <v>289</v>
      </c>
      <c r="B12" s="64"/>
      <c r="C12" s="64"/>
      <c r="D12" s="64"/>
      <c r="E12" s="64"/>
      <c r="F12" s="114"/>
      <c r="G12" s="65"/>
    </row>
    <row r="13" spans="1:7" x14ac:dyDescent="0.2">
      <c r="A13" s="186" t="s">
        <v>290</v>
      </c>
      <c r="B13" s="64"/>
      <c r="C13" s="64"/>
      <c r="D13" s="64"/>
      <c r="E13" s="64"/>
      <c r="F13" s="114"/>
      <c r="G13" s="65"/>
    </row>
    <row r="14" spans="1:7" x14ac:dyDescent="0.2">
      <c r="A14" s="187" t="s">
        <v>291</v>
      </c>
      <c r="B14" s="70"/>
      <c r="C14" s="70"/>
      <c r="D14" s="70"/>
      <c r="E14" s="70"/>
      <c r="F14" s="116"/>
      <c r="G14" s="71"/>
    </row>
  </sheetData>
  <sheetProtection selectLockedCells="1" selectUnlockedCells="1"/>
  <pageMargins left="0.25972222222222224" right="0.4597222222222222" top="1.2701388888888889" bottom="1" header="0.51180555555555551" footer="0.51180555555555551"/>
  <pageSetup paperSize="9" firstPageNumber="0" fitToHeight="4" orientation="landscape" horizontalDpi="300" verticalDpi="3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P45"/>
  <sheetViews>
    <sheetView zoomScale="90" zoomScaleNormal="90" workbookViewId="0">
      <selection activeCell="D1" sqref="D1"/>
    </sheetView>
  </sheetViews>
  <sheetFormatPr baseColWidth="10" defaultRowHeight="12.75" x14ac:dyDescent="0.2"/>
  <cols>
    <col min="1" max="1" width="54.42578125" style="177" customWidth="1"/>
    <col min="2" max="4" width="13.85546875" style="177" customWidth="1"/>
    <col min="5" max="250" width="11.42578125" style="177" customWidth="1"/>
  </cols>
  <sheetData>
    <row r="1" spans="1:5" x14ac:dyDescent="0.2">
      <c r="A1" s="1" t="s">
        <v>0</v>
      </c>
      <c r="B1"/>
      <c r="C1"/>
      <c r="D1">
        <f>InfoInicial!E1</f>
        <v>8</v>
      </c>
      <c r="E1" s="2"/>
    </row>
    <row r="2" spans="1:5" ht="15.75" x14ac:dyDescent="0.25">
      <c r="A2" s="178" t="s">
        <v>292</v>
      </c>
      <c r="B2" s="179"/>
      <c r="C2" s="179"/>
      <c r="D2" s="180"/>
    </row>
    <row r="3" spans="1:5" x14ac:dyDescent="0.2">
      <c r="A3" s="181" t="s">
        <v>94</v>
      </c>
      <c r="B3" s="188" t="s">
        <v>53</v>
      </c>
      <c r="C3" s="188" t="s">
        <v>54</v>
      </c>
      <c r="D3" s="184" t="s">
        <v>198</v>
      </c>
    </row>
    <row r="4" spans="1:5" x14ac:dyDescent="0.2">
      <c r="A4" s="185" t="s">
        <v>293</v>
      </c>
      <c r="B4" s="85"/>
      <c r="C4" s="85"/>
      <c r="D4" s="86"/>
    </row>
    <row r="5" spans="1:5" x14ac:dyDescent="0.2">
      <c r="B5" s="64"/>
      <c r="C5" s="64"/>
      <c r="D5" s="65"/>
    </row>
    <row r="6" spans="1:5" x14ac:dyDescent="0.2">
      <c r="A6" s="177" t="s">
        <v>294</v>
      </c>
      <c r="B6" s="64"/>
      <c r="C6" s="64"/>
      <c r="D6" s="65"/>
    </row>
    <row r="7" spans="1:5" x14ac:dyDescent="0.2">
      <c r="A7" s="177" t="s">
        <v>295</v>
      </c>
      <c r="B7" s="64"/>
      <c r="C7" s="64"/>
      <c r="D7" s="65"/>
    </row>
    <row r="8" spans="1:5" x14ac:dyDescent="0.2">
      <c r="A8" s="185" t="s">
        <v>296</v>
      </c>
      <c r="B8" s="64"/>
      <c r="C8" s="64"/>
      <c r="D8" s="65"/>
    </row>
    <row r="9" spans="1:5" x14ac:dyDescent="0.2">
      <c r="A9" s="186" t="s">
        <v>297</v>
      </c>
      <c r="B9" s="64"/>
      <c r="C9" s="64"/>
      <c r="D9" s="65"/>
    </row>
    <row r="10" spans="1:5" x14ac:dyDescent="0.2">
      <c r="A10" s="185" t="s">
        <v>298</v>
      </c>
      <c r="B10" s="64"/>
      <c r="C10" s="64"/>
      <c r="D10" s="65"/>
    </row>
    <row r="11" spans="1:5" x14ac:dyDescent="0.2">
      <c r="A11" s="185" t="s">
        <v>299</v>
      </c>
      <c r="B11" s="85"/>
      <c r="C11" s="85"/>
      <c r="D11" s="86"/>
    </row>
    <row r="12" spans="1:5" x14ac:dyDescent="0.2">
      <c r="A12" s="186" t="s">
        <v>300</v>
      </c>
      <c r="B12" s="64"/>
      <c r="C12" s="64"/>
      <c r="D12" s="65"/>
    </row>
    <row r="13" spans="1:5" x14ac:dyDescent="0.2">
      <c r="A13" s="177" t="s">
        <v>301</v>
      </c>
      <c r="B13" s="64"/>
      <c r="C13" s="64"/>
      <c r="D13" s="65"/>
    </row>
    <row r="14" spans="1:5" x14ac:dyDescent="0.2">
      <c r="A14" s="177" t="s">
        <v>302</v>
      </c>
      <c r="B14" s="64"/>
      <c r="C14" s="64"/>
      <c r="D14" s="65"/>
    </row>
    <row r="15" spans="1:5" x14ac:dyDescent="0.2">
      <c r="A15" s="185" t="s">
        <v>303</v>
      </c>
      <c r="B15" s="64"/>
      <c r="C15" s="64"/>
      <c r="D15" s="65"/>
    </row>
    <row r="16" spans="1:5" x14ac:dyDescent="0.2">
      <c r="A16" s="177" t="s">
        <v>120</v>
      </c>
      <c r="B16" s="85"/>
      <c r="C16" s="85"/>
      <c r="D16" s="86"/>
    </row>
    <row r="17" spans="1:5" x14ac:dyDescent="0.2">
      <c r="A17" s="177" t="s">
        <v>304</v>
      </c>
      <c r="B17" s="64"/>
      <c r="C17" s="64"/>
      <c r="D17" s="65"/>
    </row>
    <row r="18" spans="1:5" x14ac:dyDescent="0.2">
      <c r="A18" s="177" t="s">
        <v>305</v>
      </c>
      <c r="B18" s="64"/>
      <c r="C18" s="64"/>
      <c r="D18" s="65"/>
    </row>
    <row r="19" spans="1:5" x14ac:dyDescent="0.2">
      <c r="A19" s="177" t="s">
        <v>306</v>
      </c>
      <c r="B19" s="64"/>
      <c r="C19" s="64"/>
      <c r="D19" s="65"/>
    </row>
    <row r="20" spans="1:5" x14ac:dyDescent="0.2">
      <c r="A20" s="185" t="s">
        <v>307</v>
      </c>
      <c r="B20" s="64"/>
      <c r="C20" s="64"/>
      <c r="D20" s="65"/>
    </row>
    <row r="21" spans="1:5" x14ac:dyDescent="0.2">
      <c r="A21" s="177" t="s">
        <v>256</v>
      </c>
      <c r="B21" s="64"/>
      <c r="C21" s="64"/>
      <c r="D21" s="65"/>
    </row>
    <row r="22" spans="1:5" x14ac:dyDescent="0.2">
      <c r="A22" s="185" t="s">
        <v>308</v>
      </c>
      <c r="B22" s="64"/>
      <c r="C22" s="64"/>
      <c r="D22" s="65"/>
    </row>
    <row r="23" spans="1:5" x14ac:dyDescent="0.2">
      <c r="A23" s="185" t="s">
        <v>309</v>
      </c>
      <c r="B23" s="64"/>
      <c r="C23" s="64"/>
      <c r="D23" s="65"/>
    </row>
    <row r="24" spans="1:5" x14ac:dyDescent="0.2">
      <c r="A24" s="185" t="s">
        <v>310</v>
      </c>
      <c r="B24" s="85"/>
      <c r="C24" s="85"/>
      <c r="D24" s="86"/>
    </row>
    <row r="25" spans="1:5" x14ac:dyDescent="0.2">
      <c r="A25" s="177" t="s">
        <v>311</v>
      </c>
      <c r="B25" s="64"/>
      <c r="C25" s="64"/>
      <c r="D25" s="65"/>
    </row>
    <row r="26" spans="1:5" x14ac:dyDescent="0.2">
      <c r="A26" s="177" t="s">
        <v>312</v>
      </c>
      <c r="B26" s="64"/>
      <c r="C26" s="64"/>
      <c r="D26" s="65"/>
    </row>
    <row r="27" spans="1:5" x14ac:dyDescent="0.2">
      <c r="A27" s="185" t="s">
        <v>313</v>
      </c>
      <c r="B27" s="64"/>
      <c r="C27" s="64"/>
      <c r="D27" s="65"/>
      <c r="E27" s="189"/>
    </row>
    <row r="28" spans="1:5" x14ac:dyDescent="0.2">
      <c r="A28" s="185" t="s">
        <v>314</v>
      </c>
      <c r="B28" s="85"/>
      <c r="C28" s="85"/>
      <c r="D28" s="115"/>
      <c r="E28" s="190" t="s">
        <v>315</v>
      </c>
    </row>
    <row r="29" spans="1:5" x14ac:dyDescent="0.2">
      <c r="A29" s="185" t="s">
        <v>316</v>
      </c>
      <c r="B29" s="64"/>
      <c r="C29" s="64"/>
      <c r="D29" s="114"/>
      <c r="E29" s="88"/>
    </row>
    <row r="30" spans="1:5" x14ac:dyDescent="0.2">
      <c r="A30" s="185" t="s">
        <v>317</v>
      </c>
      <c r="B30" s="64"/>
      <c r="C30" s="64"/>
      <c r="D30" s="114"/>
      <c r="E30" s="88"/>
    </row>
    <row r="31" spans="1:5" x14ac:dyDescent="0.2">
      <c r="A31" s="185" t="s">
        <v>318</v>
      </c>
      <c r="B31" s="64"/>
      <c r="C31" s="64"/>
      <c r="D31" s="114"/>
      <c r="E31" s="88"/>
    </row>
    <row r="32" spans="1:5" x14ac:dyDescent="0.2">
      <c r="A32" s="187" t="s">
        <v>198</v>
      </c>
      <c r="B32" s="70"/>
      <c r="C32" s="70"/>
      <c r="D32" s="116"/>
      <c r="E32" s="81"/>
    </row>
    <row r="34" spans="1:6" ht="15.75" x14ac:dyDescent="0.25">
      <c r="A34" s="178" t="s">
        <v>319</v>
      </c>
      <c r="B34" s="179"/>
      <c r="C34" s="179"/>
      <c r="D34" s="179"/>
      <c r="E34" s="179"/>
      <c r="F34" s="179"/>
    </row>
    <row r="35" spans="1:6" x14ac:dyDescent="0.2">
      <c r="A35" s="181" t="s">
        <v>94</v>
      </c>
      <c r="B35" s="182" t="s">
        <v>54</v>
      </c>
      <c r="C35" s="182" t="s">
        <v>95</v>
      </c>
      <c r="D35" s="182" t="s">
        <v>96</v>
      </c>
      <c r="E35" s="182" t="s">
        <v>97</v>
      </c>
      <c r="F35" s="182" t="s">
        <v>98</v>
      </c>
    </row>
    <row r="36" spans="1:6" x14ac:dyDescent="0.2">
      <c r="A36" s="191" t="s">
        <v>160</v>
      </c>
      <c r="B36" s="28"/>
      <c r="C36" s="28"/>
      <c r="D36" s="28"/>
      <c r="E36" s="28"/>
      <c r="F36" s="28"/>
    </row>
    <row r="37" spans="1:6" x14ac:dyDescent="0.2">
      <c r="A37" s="192" t="s">
        <v>159</v>
      </c>
      <c r="B37" s="28"/>
      <c r="C37" s="28"/>
      <c r="D37" s="28"/>
      <c r="E37" s="28"/>
      <c r="F37" s="28"/>
    </row>
    <row r="38" spans="1:6" x14ac:dyDescent="0.2">
      <c r="A38" s="191" t="s">
        <v>162</v>
      </c>
      <c r="B38" s="28"/>
      <c r="C38" s="28"/>
      <c r="D38" s="28"/>
      <c r="E38" s="28"/>
      <c r="F38" s="28"/>
    </row>
    <row r="39" spans="1:6" x14ac:dyDescent="0.2">
      <c r="A39" s="192" t="s">
        <v>161</v>
      </c>
      <c r="B39" s="28"/>
      <c r="C39" s="28"/>
      <c r="D39" s="28"/>
      <c r="E39" s="28"/>
      <c r="F39" s="28"/>
    </row>
    <row r="40" spans="1:6" x14ac:dyDescent="0.2">
      <c r="A40" s="191" t="s">
        <v>164</v>
      </c>
      <c r="B40" s="28"/>
      <c r="C40" s="28"/>
      <c r="D40" s="28"/>
      <c r="E40" s="28"/>
      <c r="F40" s="28"/>
    </row>
    <row r="41" spans="1:6" x14ac:dyDescent="0.2">
      <c r="A41" s="192" t="s">
        <v>163</v>
      </c>
      <c r="B41" s="28"/>
      <c r="C41" s="28"/>
      <c r="D41" s="28"/>
      <c r="E41" s="28"/>
      <c r="F41" s="28"/>
    </row>
    <row r="42" spans="1:6" x14ac:dyDescent="0.2">
      <c r="A42" s="192" t="s">
        <v>320</v>
      </c>
      <c r="B42" s="28"/>
      <c r="C42" s="28"/>
      <c r="D42" s="28"/>
      <c r="E42" s="28"/>
      <c r="F42" s="28"/>
    </row>
    <row r="43" spans="1:6" x14ac:dyDescent="0.2">
      <c r="A43" s="191" t="s">
        <v>165</v>
      </c>
      <c r="B43" s="28"/>
      <c r="C43" s="28"/>
      <c r="D43" s="28"/>
      <c r="E43" s="28"/>
      <c r="F43" s="28"/>
    </row>
    <row r="44" spans="1:6" x14ac:dyDescent="0.2">
      <c r="A44" s="193" t="s">
        <v>166</v>
      </c>
      <c r="B44" s="32"/>
      <c r="C44" s="32"/>
      <c r="D44" s="32"/>
      <c r="E44" s="32"/>
      <c r="F44" s="32"/>
    </row>
    <row r="45" spans="1:6" ht="15.75" x14ac:dyDescent="0.25">
      <c r="A45" s="194" t="s">
        <v>321</v>
      </c>
    </row>
  </sheetData>
  <sheetProtection selectLockedCells="1" selectUnlockedCells="1"/>
  <pageMargins left="0.25972222222222224" right="0.4597222222222222" top="0.7" bottom="1" header="0.51180555555555551" footer="0.51180555555555551"/>
  <pageSetup paperSize="9" firstPageNumber="0" fitToHeight="4" orientation="landscape" horizontalDpi="300" verticalDpi="3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1"/>
  <sheetViews>
    <sheetView zoomScale="90" zoomScaleNormal="90" workbookViewId="0">
      <selection activeCell="E1" sqref="E1"/>
    </sheetView>
  </sheetViews>
  <sheetFormatPr baseColWidth="10" defaultRowHeight="12.75" x14ac:dyDescent="0.2"/>
  <cols>
    <col min="1" max="1" width="42.85546875" style="177" customWidth="1"/>
    <col min="2" max="7" width="13.85546875" style="177" customWidth="1"/>
    <col min="8" max="8" width="17.42578125" style="177" customWidth="1"/>
    <col min="9" max="16384" width="11.42578125" style="177"/>
  </cols>
  <sheetData>
    <row r="1" spans="1:7" x14ac:dyDescent="0.2">
      <c r="A1" s="1" t="s">
        <v>0</v>
      </c>
      <c r="B1"/>
      <c r="C1"/>
      <c r="D1"/>
      <c r="E1" s="2">
        <f>InfoInicial!E1</f>
        <v>8</v>
      </c>
    </row>
    <row r="2" spans="1:7" ht="15.75" x14ac:dyDescent="0.25">
      <c r="A2" s="178" t="s">
        <v>217</v>
      </c>
      <c r="B2" s="179"/>
      <c r="C2" s="179"/>
      <c r="D2" s="179"/>
      <c r="E2" s="179"/>
      <c r="F2" s="179"/>
      <c r="G2" s="180"/>
    </row>
    <row r="3" spans="1:7" ht="15.75" x14ac:dyDescent="0.25">
      <c r="A3" s="195"/>
      <c r="B3" s="196" t="s">
        <v>218</v>
      </c>
      <c r="C3" s="196"/>
      <c r="D3" s="196"/>
      <c r="E3" s="196"/>
      <c r="F3" s="196"/>
      <c r="G3" s="197"/>
    </row>
    <row r="4" spans="1:7" x14ac:dyDescent="0.2">
      <c r="A4" s="198" t="s">
        <v>94</v>
      </c>
      <c r="B4" s="199" t="s">
        <v>53</v>
      </c>
      <c r="C4" s="182" t="s">
        <v>54</v>
      </c>
      <c r="D4" s="182" t="s">
        <v>95</v>
      </c>
      <c r="E4" s="182" t="s">
        <v>96</v>
      </c>
      <c r="F4" s="182" t="s">
        <v>97</v>
      </c>
      <c r="G4" s="184" t="s">
        <v>98</v>
      </c>
    </row>
    <row r="5" spans="1:7" x14ac:dyDescent="0.2">
      <c r="A5" s="200" t="s">
        <v>322</v>
      </c>
      <c r="B5" s="123"/>
      <c r="C5" s="106"/>
      <c r="D5" s="106"/>
      <c r="E5" s="106"/>
      <c r="F5" s="106"/>
      <c r="G5" s="107"/>
    </row>
    <row r="6" spans="1:7" x14ac:dyDescent="0.2">
      <c r="A6" s="201" t="s">
        <v>323</v>
      </c>
      <c r="B6" s="125"/>
      <c r="C6" s="64"/>
      <c r="D6" s="64"/>
      <c r="E6" s="64"/>
      <c r="F6" s="64"/>
      <c r="G6" s="65"/>
    </row>
    <row r="7" spans="1:7" x14ac:dyDescent="0.2">
      <c r="A7" s="201" t="s">
        <v>324</v>
      </c>
      <c r="B7" s="125"/>
      <c r="C7" s="64"/>
      <c r="D7" s="64"/>
      <c r="E7" s="64"/>
      <c r="F7" s="64"/>
      <c r="G7" s="65"/>
    </row>
    <row r="8" spans="1:7" x14ac:dyDescent="0.2">
      <c r="A8" s="202" t="s">
        <v>325</v>
      </c>
      <c r="B8" s="125"/>
      <c r="C8" s="64"/>
      <c r="D8" s="64"/>
      <c r="E8" s="64"/>
      <c r="F8" s="64"/>
      <c r="G8" s="65"/>
    </row>
    <row r="9" spans="1:7" x14ac:dyDescent="0.2">
      <c r="A9" s="202" t="s">
        <v>326</v>
      </c>
      <c r="B9" s="125"/>
      <c r="C9" s="64"/>
      <c r="D9" s="64"/>
      <c r="E9" s="64"/>
      <c r="F9" s="64"/>
      <c r="G9" s="65"/>
    </row>
    <row r="10" spans="1:7" x14ac:dyDescent="0.2">
      <c r="A10" s="203" t="s">
        <v>327</v>
      </c>
      <c r="B10" s="125"/>
      <c r="C10" s="64"/>
      <c r="D10" s="64"/>
      <c r="E10" s="64"/>
      <c r="F10" s="64"/>
      <c r="G10" s="65"/>
    </row>
    <row r="11" spans="1:7" x14ac:dyDescent="0.2">
      <c r="A11" s="203"/>
      <c r="B11" s="127"/>
      <c r="C11" s="85"/>
      <c r="D11" s="85"/>
      <c r="E11" s="85"/>
      <c r="F11" s="85"/>
      <c r="G11" s="86"/>
    </row>
    <row r="12" spans="1:7" x14ac:dyDescent="0.2">
      <c r="A12" s="201" t="s">
        <v>229</v>
      </c>
      <c r="B12" s="125"/>
      <c r="C12" s="64"/>
      <c r="D12" s="64"/>
      <c r="E12" s="64"/>
      <c r="F12" s="64"/>
      <c r="G12" s="65"/>
    </row>
    <row r="13" spans="1:7" x14ac:dyDescent="0.2">
      <c r="A13" s="201" t="s">
        <v>230</v>
      </c>
      <c r="B13" s="125"/>
      <c r="C13" s="64"/>
      <c r="D13" s="64"/>
      <c r="E13" s="64"/>
      <c r="F13" s="64"/>
      <c r="G13" s="65"/>
    </row>
    <row r="14" spans="1:7" x14ac:dyDescent="0.2">
      <c r="A14" s="203" t="s">
        <v>328</v>
      </c>
      <c r="B14" s="125"/>
      <c r="C14" s="64"/>
      <c r="D14" s="64"/>
      <c r="E14" s="64"/>
      <c r="F14" s="64"/>
      <c r="G14" s="65"/>
    </row>
    <row r="15" spans="1:7" x14ac:dyDescent="0.2">
      <c r="A15" s="201"/>
      <c r="B15" s="127"/>
      <c r="C15" s="85"/>
      <c r="D15" s="85"/>
      <c r="E15" s="85"/>
      <c r="F15" s="85"/>
      <c r="G15" s="86"/>
    </row>
    <row r="16" spans="1:7" x14ac:dyDescent="0.2">
      <c r="A16" s="204" t="s">
        <v>329</v>
      </c>
      <c r="B16" s="125"/>
      <c r="C16" s="64"/>
      <c r="D16" s="64"/>
      <c r="E16" s="64"/>
      <c r="F16" s="64"/>
      <c r="G16" s="65"/>
    </row>
    <row r="17" spans="1:7" x14ac:dyDescent="0.2">
      <c r="A17" s="204" t="s">
        <v>330</v>
      </c>
      <c r="B17" s="125"/>
      <c r="C17" s="64"/>
      <c r="D17" s="64"/>
      <c r="E17" s="64"/>
      <c r="F17" s="64"/>
      <c r="G17" s="65"/>
    </row>
    <row r="18" spans="1:7" x14ac:dyDescent="0.2">
      <c r="A18" s="203" t="s">
        <v>331</v>
      </c>
      <c r="B18" s="125"/>
      <c r="C18" s="64"/>
      <c r="D18" s="64"/>
      <c r="E18" s="64"/>
      <c r="F18" s="64"/>
      <c r="G18" s="65"/>
    </row>
    <row r="19" spans="1:7" x14ac:dyDescent="0.2">
      <c r="A19" s="203" t="s">
        <v>332</v>
      </c>
      <c r="B19" s="125"/>
      <c r="C19" s="64"/>
      <c r="D19" s="64"/>
      <c r="E19" s="64"/>
      <c r="F19" s="64"/>
      <c r="G19" s="65"/>
    </row>
    <row r="20" spans="1:7" x14ac:dyDescent="0.2">
      <c r="A20" s="201"/>
      <c r="B20" s="127"/>
      <c r="C20" s="85"/>
      <c r="D20" s="85"/>
      <c r="E20" s="85"/>
      <c r="F20" s="85"/>
      <c r="G20" s="86"/>
    </row>
    <row r="21" spans="1:7" x14ac:dyDescent="0.2">
      <c r="A21" s="205" t="s">
        <v>236</v>
      </c>
      <c r="B21" s="130"/>
      <c r="C21" s="70"/>
      <c r="D21" s="70"/>
      <c r="E21" s="70"/>
      <c r="F21" s="70"/>
      <c r="G21" s="71"/>
    </row>
  </sheetData>
  <sheetProtection selectLockedCells="1" selectUnlockedCells="1"/>
  <pageMargins left="0.25972222222222224" right="0.4597222222222222" top="1.2701388888888889" bottom="1" header="0.51180555555555551" footer="0.51180555555555551"/>
  <pageSetup paperSize="9" firstPageNumber="0" fitToHeight="4" orientation="landscape" horizontalDpi="300" verticalDpi="30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8"/>
  <sheetViews>
    <sheetView zoomScale="90" zoomScaleNormal="90" workbookViewId="0">
      <selection activeCell="B5" sqref="B5"/>
    </sheetView>
  </sheetViews>
  <sheetFormatPr baseColWidth="10" defaultRowHeight="12.75" x14ac:dyDescent="0.2"/>
  <cols>
    <col min="1" max="1" width="40.85546875" style="206" customWidth="1"/>
    <col min="2" max="7" width="14.85546875" style="206" customWidth="1"/>
    <col min="8" max="8" width="21.5703125" style="206" customWidth="1"/>
    <col min="9" max="9" width="17.42578125" style="206" customWidth="1"/>
    <col min="10" max="16384" width="11.42578125" style="206"/>
  </cols>
  <sheetData>
    <row r="1" spans="1:8" x14ac:dyDescent="0.2">
      <c r="A1" s="1" t="s">
        <v>0</v>
      </c>
      <c r="B1"/>
      <c r="C1"/>
      <c r="D1"/>
      <c r="E1" s="2">
        <f>InfoInicial!E1</f>
        <v>8</v>
      </c>
    </row>
    <row r="3" spans="1:8" ht="15.75" x14ac:dyDescent="0.25">
      <c r="A3" s="207" t="s">
        <v>333</v>
      </c>
      <c r="B3" s="208"/>
      <c r="C3" s="208"/>
      <c r="D3" s="208"/>
      <c r="E3" s="208"/>
      <c r="F3" s="208"/>
      <c r="G3" s="209"/>
      <c r="H3" s="210"/>
    </row>
    <row r="4" spans="1:8" x14ac:dyDescent="0.2">
      <c r="A4" s="211"/>
      <c r="B4" s="212" t="s">
        <v>53</v>
      </c>
      <c r="C4" s="212" t="s">
        <v>54</v>
      </c>
      <c r="D4" s="212" t="s">
        <v>95</v>
      </c>
      <c r="E4" s="212" t="s">
        <v>96</v>
      </c>
      <c r="F4" s="212" t="s">
        <v>97</v>
      </c>
      <c r="G4" s="213" t="s">
        <v>98</v>
      </c>
      <c r="H4" s="214" t="s">
        <v>198</v>
      </c>
    </row>
    <row r="5" spans="1:8" x14ac:dyDescent="0.2">
      <c r="A5" s="185" t="s">
        <v>334</v>
      </c>
      <c r="B5" s="92"/>
      <c r="C5" s="92"/>
      <c r="D5" s="92"/>
      <c r="E5" s="92"/>
      <c r="F5" s="92"/>
      <c r="G5" s="215"/>
      <c r="H5" s="93"/>
    </row>
    <row r="6" spans="1:8" x14ac:dyDescent="0.2">
      <c r="A6" s="177" t="s">
        <v>335</v>
      </c>
      <c r="B6" s="64"/>
      <c r="C6" s="64"/>
      <c r="D6" s="64"/>
      <c r="E6" s="64"/>
      <c r="F6" s="64"/>
      <c r="G6" s="114"/>
      <c r="H6" s="65"/>
    </row>
    <row r="7" spans="1:8" x14ac:dyDescent="0.2">
      <c r="A7" s="177" t="s">
        <v>336</v>
      </c>
      <c r="B7" s="216"/>
      <c r="C7" s="216"/>
      <c r="D7" s="216"/>
      <c r="E7" s="216"/>
      <c r="F7" s="216"/>
      <c r="G7" s="217"/>
      <c r="H7" s="218"/>
    </row>
    <row r="8" spans="1:8" x14ac:dyDescent="0.2">
      <c r="A8" s="177" t="s">
        <v>337</v>
      </c>
      <c r="B8" s="64"/>
      <c r="C8" s="64"/>
      <c r="D8" s="64"/>
      <c r="E8" s="64"/>
      <c r="F8" s="64"/>
      <c r="G8" s="114"/>
      <c r="H8" s="65"/>
    </row>
    <row r="9" spans="1:8" x14ac:dyDescent="0.2">
      <c r="A9" s="177" t="s">
        <v>338</v>
      </c>
      <c r="B9" s="216"/>
      <c r="C9" s="216"/>
      <c r="D9" s="216"/>
      <c r="E9" s="216"/>
      <c r="F9" s="216"/>
      <c r="G9" s="217"/>
      <c r="H9" s="218"/>
    </row>
    <row r="10" spans="1:8" x14ac:dyDescent="0.2">
      <c r="A10" s="177" t="s">
        <v>339</v>
      </c>
      <c r="B10" s="64"/>
      <c r="C10" s="64"/>
      <c r="D10" s="64"/>
      <c r="E10" s="64"/>
      <c r="F10" s="64"/>
      <c r="G10" s="114"/>
      <c r="H10" s="65"/>
    </row>
    <row r="11" spans="1:8" x14ac:dyDescent="0.2">
      <c r="A11" s="177" t="s">
        <v>340</v>
      </c>
      <c r="B11" s="92"/>
      <c r="C11" s="92"/>
      <c r="D11" s="92"/>
      <c r="E11" s="92"/>
      <c r="F11" s="92"/>
      <c r="G11" s="215"/>
      <c r="H11" s="93"/>
    </row>
    <row r="12" spans="1:8" x14ac:dyDescent="0.2">
      <c r="A12" s="177"/>
      <c r="B12" s="64"/>
      <c r="C12" s="64"/>
      <c r="D12" s="64"/>
      <c r="E12" s="64"/>
      <c r="F12" s="64"/>
      <c r="G12" s="114"/>
      <c r="H12" s="65"/>
    </row>
    <row r="13" spans="1:8" x14ac:dyDescent="0.2">
      <c r="A13" s="185" t="s">
        <v>341</v>
      </c>
      <c r="B13" s="64"/>
      <c r="C13" s="64"/>
      <c r="D13" s="64"/>
      <c r="E13" s="64"/>
      <c r="F13" s="64"/>
      <c r="G13" s="114"/>
      <c r="H13" s="65"/>
    </row>
    <row r="14" spans="1:8" x14ac:dyDescent="0.2">
      <c r="A14" s="177" t="s">
        <v>342</v>
      </c>
      <c r="B14" s="216"/>
      <c r="C14" s="216"/>
      <c r="D14" s="216"/>
      <c r="E14" s="216"/>
      <c r="F14" s="216"/>
      <c r="G14" s="217"/>
      <c r="H14" s="218"/>
    </row>
    <row r="15" spans="1:8" x14ac:dyDescent="0.2">
      <c r="A15" s="177" t="s">
        <v>266</v>
      </c>
      <c r="B15" s="64"/>
      <c r="C15" s="64"/>
      <c r="D15" s="64"/>
      <c r="E15" s="64"/>
      <c r="F15" s="64"/>
      <c r="G15" s="114"/>
      <c r="H15" s="65"/>
    </row>
    <row r="16" spans="1:8" x14ac:dyDescent="0.2">
      <c r="A16" s="177" t="s">
        <v>343</v>
      </c>
      <c r="B16" s="64"/>
      <c r="C16" s="64"/>
      <c r="D16" s="64"/>
      <c r="E16" s="64"/>
      <c r="F16" s="64"/>
      <c r="G16" s="114"/>
      <c r="H16" s="65"/>
    </row>
    <row r="17" spans="1:14" x14ac:dyDescent="0.2">
      <c r="A17" s="177" t="s">
        <v>344</v>
      </c>
      <c r="B17" s="64"/>
      <c r="C17" s="64"/>
      <c r="D17" s="64"/>
      <c r="E17" s="64"/>
      <c r="F17" s="64"/>
      <c r="G17" s="114"/>
      <c r="H17" s="65"/>
    </row>
    <row r="18" spans="1:14" x14ac:dyDescent="0.2">
      <c r="A18" s="177" t="s">
        <v>345</v>
      </c>
      <c r="B18" s="216"/>
      <c r="C18" s="216"/>
      <c r="D18" s="216"/>
      <c r="E18" s="216"/>
      <c r="F18" s="216"/>
      <c r="G18" s="217"/>
      <c r="H18" s="218"/>
    </row>
    <row r="19" spans="1:14" x14ac:dyDescent="0.2">
      <c r="A19" s="177" t="s">
        <v>346</v>
      </c>
      <c r="B19" s="64"/>
      <c r="C19" s="64"/>
      <c r="D19" s="64"/>
      <c r="E19" s="64"/>
      <c r="F19" s="64"/>
      <c r="G19" s="114"/>
      <c r="H19" s="65"/>
    </row>
    <row r="20" spans="1:14" x14ac:dyDescent="0.2">
      <c r="A20" s="177" t="s">
        <v>347</v>
      </c>
      <c r="B20" s="216"/>
      <c r="C20" s="216"/>
      <c r="D20" s="216"/>
      <c r="E20" s="216"/>
      <c r="F20" s="216"/>
      <c r="G20" s="217"/>
      <c r="H20" s="218"/>
    </row>
    <row r="21" spans="1:14" x14ac:dyDescent="0.2">
      <c r="A21" s="177" t="s">
        <v>348</v>
      </c>
      <c r="B21" s="64"/>
      <c r="C21" s="64"/>
      <c r="D21" s="64"/>
      <c r="E21" s="64"/>
      <c r="F21" s="64"/>
      <c r="G21" s="114"/>
      <c r="H21" s="65"/>
    </row>
    <row r="22" spans="1:14" x14ac:dyDescent="0.2">
      <c r="A22" s="177" t="s">
        <v>349</v>
      </c>
      <c r="B22" s="92"/>
      <c r="C22" s="92"/>
      <c r="D22" s="92"/>
      <c r="E22" s="92"/>
      <c r="F22" s="92"/>
      <c r="G22" s="215"/>
      <c r="H22" s="93"/>
    </row>
    <row r="23" spans="1:14" x14ac:dyDescent="0.2">
      <c r="A23" s="177"/>
      <c r="B23" s="85"/>
      <c r="C23" s="85"/>
      <c r="D23" s="85"/>
      <c r="E23" s="85"/>
      <c r="F23" s="85"/>
      <c r="G23" s="115"/>
      <c r="H23" s="86"/>
    </row>
    <row r="24" spans="1:14" x14ac:dyDescent="0.2">
      <c r="A24" s="185" t="s">
        <v>350</v>
      </c>
      <c r="B24" s="64"/>
      <c r="C24" s="64"/>
      <c r="D24" s="64"/>
      <c r="E24" s="64"/>
      <c r="F24" s="64"/>
      <c r="G24" s="114"/>
      <c r="H24" s="65"/>
    </row>
    <row r="25" spans="1:14" x14ac:dyDescent="0.2">
      <c r="A25" s="185" t="s">
        <v>351</v>
      </c>
      <c r="B25" s="64"/>
      <c r="C25" s="64"/>
      <c r="D25" s="64"/>
      <c r="E25" s="64"/>
      <c r="F25" s="64"/>
      <c r="G25" s="114"/>
      <c r="H25" s="65"/>
    </row>
    <row r="26" spans="1:14" x14ac:dyDescent="0.2">
      <c r="A26" s="185"/>
      <c r="B26" s="85"/>
      <c r="C26" s="85"/>
      <c r="D26" s="85"/>
      <c r="E26" s="85"/>
      <c r="F26" s="85"/>
      <c r="G26" s="115"/>
      <c r="H26" s="86"/>
    </row>
    <row r="27" spans="1:14" x14ac:dyDescent="0.2">
      <c r="A27" s="185" t="s">
        <v>352</v>
      </c>
      <c r="B27" s="94"/>
      <c r="C27" s="94"/>
      <c r="D27" s="94"/>
      <c r="E27" s="94"/>
      <c r="F27" s="94"/>
      <c r="G27" s="219"/>
      <c r="H27" s="95"/>
    </row>
    <row r="28" spans="1:14" x14ac:dyDescent="0.2">
      <c r="A28" s="193" t="s">
        <v>353</v>
      </c>
      <c r="B28" s="32"/>
      <c r="C28" s="32"/>
      <c r="D28" s="32"/>
      <c r="E28" s="32"/>
      <c r="F28" s="32"/>
      <c r="G28" s="220"/>
      <c r="H28" s="54"/>
      <c r="I28" s="177"/>
      <c r="J28" s="177"/>
      <c r="K28" s="177"/>
      <c r="L28" s="177"/>
      <c r="M28" s="177"/>
      <c r="N28" s="177"/>
    </row>
  </sheetData>
  <sheetProtection selectLockedCells="1" selectUnlockedCells="1"/>
  <pageMargins left="0.32013888888888886" right="0.75" top="0.6" bottom="0.24027777777777778" header="0.51180555555555551" footer="0.51180555555555551"/>
  <pageSetup paperSize="9" firstPageNumber="0" fitToHeight="4" orientation="landscape" horizontalDpi="300" verticalDpi="300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8"/>
  <sheetViews>
    <sheetView topLeftCell="A10" zoomScale="90" zoomScaleNormal="90" workbookViewId="0">
      <selection activeCell="B35" sqref="B35"/>
    </sheetView>
  </sheetViews>
  <sheetFormatPr baseColWidth="10" defaultRowHeight="12.75" x14ac:dyDescent="0.2"/>
  <cols>
    <col min="1" max="1" width="37.5703125" style="177" customWidth="1"/>
    <col min="2" max="7" width="14.85546875" style="177" customWidth="1"/>
    <col min="8" max="8" width="17.42578125" style="177" customWidth="1"/>
    <col min="9" max="16384" width="11.42578125" style="177"/>
  </cols>
  <sheetData>
    <row r="1" spans="1:7" x14ac:dyDescent="0.2">
      <c r="A1" s="1" t="s">
        <v>0</v>
      </c>
      <c r="B1"/>
      <c r="C1"/>
      <c r="D1"/>
      <c r="E1" s="2">
        <f>InfoInicial!E1</f>
        <v>8</v>
      </c>
    </row>
    <row r="3" spans="1:7" ht="15.75" x14ac:dyDescent="0.25">
      <c r="A3" s="207" t="s">
        <v>354</v>
      </c>
      <c r="B3" s="208"/>
      <c r="C3" s="208"/>
      <c r="D3" s="208"/>
      <c r="E3" s="208"/>
      <c r="F3" s="208"/>
      <c r="G3" s="210"/>
    </row>
    <row r="4" spans="1:7" x14ac:dyDescent="0.2">
      <c r="A4" s="221"/>
      <c r="B4" s="222" t="s">
        <v>53</v>
      </c>
      <c r="C4" s="222" t="s">
        <v>54</v>
      </c>
      <c r="D4" s="222" t="s">
        <v>95</v>
      </c>
      <c r="E4" s="222" t="s">
        <v>96</v>
      </c>
      <c r="F4" s="222" t="s">
        <v>97</v>
      </c>
      <c r="G4" s="223" t="s">
        <v>98</v>
      </c>
    </row>
    <row r="5" spans="1:7" x14ac:dyDescent="0.2">
      <c r="A5" s="224" t="s">
        <v>355</v>
      </c>
      <c r="B5" s="225"/>
      <c r="C5" s="225"/>
      <c r="D5" s="225"/>
      <c r="E5" s="225"/>
      <c r="F5" s="225"/>
      <c r="G5" s="226"/>
    </row>
    <row r="6" spans="1:7" x14ac:dyDescent="0.2">
      <c r="A6" s="191" t="s">
        <v>356</v>
      </c>
      <c r="B6" s="85"/>
      <c r="C6" s="85"/>
      <c r="D6" s="85"/>
      <c r="E6" s="85"/>
      <c r="F6" s="85"/>
      <c r="G6" s="86"/>
    </row>
    <row r="7" spans="1:7" x14ac:dyDescent="0.2">
      <c r="A7" s="211" t="s">
        <v>357</v>
      </c>
      <c r="B7" s="216"/>
      <c r="C7" s="216"/>
      <c r="D7" s="216"/>
      <c r="E7" s="216"/>
      <c r="F7" s="216"/>
      <c r="G7" s="218"/>
    </row>
    <row r="8" spans="1:7" x14ac:dyDescent="0.2">
      <c r="A8" s="211" t="s">
        <v>358</v>
      </c>
      <c r="B8" s="64"/>
      <c r="C8" s="64"/>
      <c r="D8" s="64"/>
      <c r="E8" s="64"/>
      <c r="F8" s="64"/>
      <c r="G8" s="65"/>
    </row>
    <row r="9" spans="1:7" x14ac:dyDescent="0.2">
      <c r="A9" s="191" t="s">
        <v>359</v>
      </c>
      <c r="B9" s="216"/>
      <c r="C9" s="216"/>
      <c r="D9" s="216"/>
      <c r="E9" s="216"/>
      <c r="F9" s="216"/>
      <c r="G9" s="218"/>
    </row>
    <row r="10" spans="1:7" x14ac:dyDescent="0.2">
      <c r="A10" s="191" t="s">
        <v>360</v>
      </c>
      <c r="B10" s="64"/>
      <c r="C10" s="64"/>
      <c r="D10" s="64"/>
      <c r="E10" s="64"/>
      <c r="F10" s="64"/>
      <c r="G10" s="65"/>
    </row>
    <row r="11" spans="1:7" x14ac:dyDescent="0.2">
      <c r="A11" s="191" t="s">
        <v>361</v>
      </c>
      <c r="B11" s="92"/>
      <c r="C11" s="92"/>
      <c r="D11" s="92"/>
      <c r="E11" s="92"/>
      <c r="F11" s="92"/>
      <c r="G11" s="93"/>
    </row>
    <row r="12" spans="1:7" x14ac:dyDescent="0.2">
      <c r="A12" s="191" t="s">
        <v>362</v>
      </c>
      <c r="B12" s="92"/>
      <c r="C12" s="92"/>
      <c r="D12" s="92"/>
      <c r="E12" s="92"/>
      <c r="F12" s="92"/>
      <c r="G12" s="93"/>
    </row>
    <row r="13" spans="1:7" x14ac:dyDescent="0.2">
      <c r="A13" s="191" t="s">
        <v>363</v>
      </c>
      <c r="B13" s="227"/>
      <c r="C13" s="227"/>
      <c r="D13" s="227"/>
      <c r="E13" s="227"/>
      <c r="F13" s="227"/>
      <c r="G13" s="228"/>
    </row>
    <row r="14" spans="1:7" x14ac:dyDescent="0.2">
      <c r="A14" s="211" t="s">
        <v>364</v>
      </c>
      <c r="B14" s="64"/>
      <c r="C14" s="64"/>
      <c r="D14" s="64"/>
      <c r="E14" s="64"/>
      <c r="F14" s="64"/>
      <c r="G14" s="65"/>
    </row>
    <row r="15" spans="1:7" x14ac:dyDescent="0.2">
      <c r="A15" s="211" t="s">
        <v>365</v>
      </c>
      <c r="B15" s="216"/>
      <c r="C15" s="216"/>
      <c r="D15" s="216"/>
      <c r="E15" s="216"/>
      <c r="F15" s="216"/>
      <c r="G15" s="218"/>
    </row>
    <row r="16" spans="1:7" x14ac:dyDescent="0.2">
      <c r="A16" s="211" t="s">
        <v>366</v>
      </c>
      <c r="B16" s="64"/>
      <c r="C16" s="64"/>
      <c r="D16" s="64"/>
      <c r="E16" s="64"/>
      <c r="F16" s="64"/>
      <c r="G16" s="65"/>
    </row>
    <row r="17" spans="1:7" x14ac:dyDescent="0.2">
      <c r="A17" s="211" t="s">
        <v>367</v>
      </c>
      <c r="B17" s="64"/>
      <c r="C17" s="64"/>
      <c r="D17" s="64"/>
      <c r="E17" s="64"/>
      <c r="F17" s="64"/>
      <c r="G17" s="65"/>
    </row>
    <row r="18" spans="1:7" x14ac:dyDescent="0.2">
      <c r="A18" s="191" t="s">
        <v>87</v>
      </c>
      <c r="B18" s="216"/>
      <c r="C18" s="216"/>
      <c r="D18" s="216"/>
      <c r="E18" s="216"/>
      <c r="F18" s="216"/>
      <c r="G18" s="218"/>
    </row>
    <row r="19" spans="1:7" x14ac:dyDescent="0.2">
      <c r="A19" s="211" t="s">
        <v>364</v>
      </c>
      <c r="B19" s="64"/>
      <c r="C19" s="64"/>
      <c r="D19" s="64"/>
      <c r="E19" s="64"/>
      <c r="F19" s="64"/>
      <c r="G19" s="65"/>
    </row>
    <row r="20" spans="1:7" x14ac:dyDescent="0.2">
      <c r="A20" s="211" t="s">
        <v>368</v>
      </c>
      <c r="B20" s="64"/>
      <c r="C20" s="64"/>
      <c r="D20" s="64"/>
      <c r="E20" s="64"/>
      <c r="F20" s="64"/>
      <c r="G20" s="65"/>
    </row>
    <row r="21" spans="1:7" x14ac:dyDescent="0.2">
      <c r="A21" s="211" t="s">
        <v>369</v>
      </c>
      <c r="B21" s="64"/>
      <c r="C21" s="64"/>
      <c r="D21" s="64"/>
      <c r="E21" s="64"/>
      <c r="F21" s="64"/>
      <c r="G21" s="65"/>
    </row>
    <row r="22" spans="1:7" x14ac:dyDescent="0.2">
      <c r="A22" s="211" t="s">
        <v>367</v>
      </c>
      <c r="B22" s="216"/>
      <c r="C22" s="216"/>
      <c r="D22" s="216"/>
      <c r="E22" s="216"/>
      <c r="F22" s="216"/>
      <c r="G22" s="218"/>
    </row>
    <row r="23" spans="1:7" x14ac:dyDescent="0.2">
      <c r="A23" s="191" t="s">
        <v>370</v>
      </c>
      <c r="B23" s="216"/>
      <c r="C23" s="216"/>
      <c r="D23" s="216"/>
      <c r="E23" s="216"/>
      <c r="F23" s="216"/>
      <c r="G23" s="218"/>
    </row>
    <row r="24" spans="1:7" x14ac:dyDescent="0.2">
      <c r="A24" s="191" t="s">
        <v>371</v>
      </c>
      <c r="B24" s="216"/>
      <c r="C24" s="216"/>
      <c r="D24" s="216"/>
      <c r="E24" s="216"/>
      <c r="F24" s="216"/>
      <c r="G24" s="218"/>
    </row>
    <row r="25" spans="1:7" x14ac:dyDescent="0.2">
      <c r="A25" s="191" t="s">
        <v>372</v>
      </c>
      <c r="B25" s="216"/>
      <c r="C25" s="216"/>
      <c r="D25" s="216"/>
      <c r="E25" s="216"/>
      <c r="F25" s="216"/>
      <c r="G25" s="218"/>
    </row>
    <row r="26" spans="1:7" x14ac:dyDescent="0.2">
      <c r="A26" s="191" t="s">
        <v>373</v>
      </c>
      <c r="B26" s="216"/>
      <c r="C26" s="216"/>
      <c r="D26" s="216"/>
      <c r="E26" s="216"/>
      <c r="F26" s="216"/>
      <c r="G26" s="218"/>
    </row>
    <row r="27" spans="1:7" x14ac:dyDescent="0.2">
      <c r="A27" s="191" t="s">
        <v>374</v>
      </c>
      <c r="B27" s="64"/>
      <c r="C27" s="64"/>
      <c r="D27" s="64"/>
      <c r="E27" s="64"/>
      <c r="F27" s="64"/>
      <c r="G27" s="65"/>
    </row>
    <row r="28" spans="1:7" x14ac:dyDescent="0.2">
      <c r="A28" s="191" t="s">
        <v>375</v>
      </c>
      <c r="B28" s="64"/>
      <c r="C28" s="64"/>
      <c r="D28" s="64"/>
      <c r="E28" s="64"/>
      <c r="F28" s="64"/>
      <c r="G28" s="65"/>
    </row>
    <row r="29" spans="1:7" x14ac:dyDescent="0.2">
      <c r="A29" s="191" t="s">
        <v>374</v>
      </c>
      <c r="B29" s="216"/>
      <c r="C29" s="216"/>
      <c r="D29" s="216"/>
      <c r="E29" s="216"/>
      <c r="F29" s="216"/>
      <c r="G29" s="218"/>
    </row>
    <row r="30" spans="1:7" x14ac:dyDescent="0.2">
      <c r="A30" s="191" t="s">
        <v>376</v>
      </c>
      <c r="B30" s="64"/>
      <c r="C30" s="64"/>
      <c r="D30" s="64"/>
      <c r="E30" s="64"/>
      <c r="F30" s="64"/>
      <c r="G30" s="65"/>
    </row>
    <row r="31" spans="1:7" x14ac:dyDescent="0.2">
      <c r="A31" s="191" t="s">
        <v>377</v>
      </c>
      <c r="B31" s="64"/>
      <c r="C31" s="64"/>
      <c r="D31" s="64"/>
      <c r="E31" s="64"/>
      <c r="F31" s="64"/>
      <c r="G31" s="65"/>
    </row>
    <row r="32" spans="1:7" x14ac:dyDescent="0.2">
      <c r="A32" s="191" t="s">
        <v>378</v>
      </c>
      <c r="B32" s="64"/>
      <c r="C32" s="64"/>
      <c r="D32" s="64"/>
      <c r="E32" s="64"/>
      <c r="F32" s="64"/>
      <c r="G32" s="65"/>
    </row>
    <row r="33" spans="1:7" x14ac:dyDescent="0.2">
      <c r="A33" s="191" t="s">
        <v>379</v>
      </c>
      <c r="B33" s="216"/>
      <c r="C33" s="216"/>
      <c r="D33" s="216"/>
      <c r="E33" s="216"/>
      <c r="F33" s="216"/>
      <c r="G33" s="218"/>
    </row>
    <row r="34" spans="1:7" x14ac:dyDescent="0.2">
      <c r="A34" s="191" t="s">
        <v>380</v>
      </c>
      <c r="B34" s="64"/>
      <c r="C34" s="64"/>
      <c r="D34" s="64"/>
      <c r="E34" s="64"/>
      <c r="F34" s="64"/>
      <c r="G34" s="65"/>
    </row>
    <row r="35" spans="1:7" x14ac:dyDescent="0.2">
      <c r="A35" s="193" t="s">
        <v>381</v>
      </c>
      <c r="B35" s="32"/>
      <c r="C35" s="32"/>
      <c r="D35" s="32"/>
      <c r="E35" s="32"/>
      <c r="F35" s="32"/>
      <c r="G35" s="54"/>
    </row>
    <row r="38" spans="1:7" x14ac:dyDescent="0.2">
      <c r="A38" s="229" t="s">
        <v>382</v>
      </c>
      <c r="B38" s="144" t="str">
        <f t="shared" ref="B38:G38" si="0">IF(B24=B35,"OK","MAL")</f>
        <v>OK</v>
      </c>
      <c r="C38" s="144" t="str">
        <f t="shared" si="0"/>
        <v>OK</v>
      </c>
      <c r="D38" s="144" t="str">
        <f t="shared" si="0"/>
        <v>OK</v>
      </c>
      <c r="E38" s="144" t="str">
        <f t="shared" si="0"/>
        <v>OK</v>
      </c>
      <c r="F38" s="144" t="str">
        <f t="shared" si="0"/>
        <v>OK</v>
      </c>
      <c r="G38" s="144" t="str">
        <f t="shared" si="0"/>
        <v>OK</v>
      </c>
    </row>
  </sheetData>
  <sheetProtection selectLockedCells="1" selectUnlockedCells="1"/>
  <conditionalFormatting sqref="B38">
    <cfRule type="cellIs" dxfId="31" priority="1" stopIfTrue="1" operator="equal">
      <formula>"OK"</formula>
    </cfRule>
    <cfRule type="cellIs" dxfId="30" priority="2" stopIfTrue="1" operator="equal">
      <formula>"MAL"</formula>
    </cfRule>
  </conditionalFormatting>
  <conditionalFormatting sqref="C38">
    <cfRule type="cellIs" dxfId="29" priority="3" stopIfTrue="1" operator="equal">
      <formula>"OK"</formula>
    </cfRule>
    <cfRule type="cellIs" dxfId="28" priority="4" stopIfTrue="1" operator="equal">
      <formula>"MAL"</formula>
    </cfRule>
  </conditionalFormatting>
  <conditionalFormatting sqref="D38">
    <cfRule type="cellIs" dxfId="27" priority="5" stopIfTrue="1" operator="equal">
      <formula>"OK"</formula>
    </cfRule>
    <cfRule type="cellIs" dxfId="26" priority="6" stopIfTrue="1" operator="equal">
      <formula>"MAL"</formula>
    </cfRule>
  </conditionalFormatting>
  <conditionalFormatting sqref="E38">
    <cfRule type="cellIs" dxfId="25" priority="7" stopIfTrue="1" operator="equal">
      <formula>"OK"</formula>
    </cfRule>
    <cfRule type="cellIs" dxfId="24" priority="8" stopIfTrue="1" operator="equal">
      <formula>"MAL"</formula>
    </cfRule>
  </conditionalFormatting>
  <conditionalFormatting sqref="F38">
    <cfRule type="cellIs" dxfId="23" priority="9" stopIfTrue="1" operator="equal">
      <formula>"OK"</formula>
    </cfRule>
    <cfRule type="cellIs" dxfId="22" priority="10" stopIfTrue="1" operator="equal">
      <formula>"MAL"</formula>
    </cfRule>
  </conditionalFormatting>
  <conditionalFormatting sqref="G38">
    <cfRule type="cellIs" dxfId="21" priority="11" stopIfTrue="1" operator="equal">
      <formula>"OK"</formula>
    </cfRule>
    <cfRule type="cellIs" dxfId="20" priority="12" stopIfTrue="1" operator="equal">
      <formula>"MAL"</formula>
    </cfRule>
  </conditionalFormatting>
  <pageMargins left="0.32013888888888886" right="0.75" top="0.6" bottom="0.24027777777777778" header="0.51180555555555551" footer="0.51180555555555551"/>
  <pageSetup paperSize="9" firstPageNumber="0" fitToHeight="4" orientation="landscape" horizontalDpi="300" verticalDpi="300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6"/>
  <sheetViews>
    <sheetView topLeftCell="A10" zoomScale="90" zoomScaleNormal="90" workbookViewId="0">
      <selection activeCell="I35" sqref="I35"/>
    </sheetView>
  </sheetViews>
  <sheetFormatPr baseColWidth="10" defaultRowHeight="12.75" x14ac:dyDescent="0.2"/>
  <cols>
    <col min="1" max="1" width="7.85546875" style="177" customWidth="1"/>
    <col min="2" max="6" width="14.85546875" style="177" customWidth="1"/>
    <col min="7" max="7" width="16" style="177" customWidth="1"/>
    <col min="8" max="9" width="14.85546875" style="177" customWidth="1"/>
    <col min="10" max="10" width="17.42578125" style="177" customWidth="1"/>
    <col min="11" max="11" width="14.85546875" style="177" customWidth="1"/>
    <col min="12" max="12" width="16.5703125" style="177" customWidth="1"/>
    <col min="13" max="13" width="18.42578125" style="177" customWidth="1"/>
    <col min="14" max="15" width="17.42578125" style="177" customWidth="1"/>
    <col min="16" max="16384" width="11.42578125" style="177"/>
  </cols>
  <sheetData>
    <row r="1" spans="1:14" x14ac:dyDescent="0.2">
      <c r="A1" s="1" t="s">
        <v>0</v>
      </c>
      <c r="B1"/>
      <c r="C1"/>
      <c r="D1"/>
      <c r="G1" s="2">
        <f>InfoInicial!E1</f>
        <v>8</v>
      </c>
    </row>
    <row r="3" spans="1:14" ht="15.75" x14ac:dyDescent="0.25">
      <c r="A3" s="178" t="s">
        <v>383</v>
      </c>
      <c r="B3" s="179"/>
      <c r="C3" s="179"/>
      <c r="D3" s="179"/>
      <c r="E3" s="179"/>
      <c r="F3" s="179"/>
      <c r="G3" s="179"/>
      <c r="H3" s="179"/>
      <c r="I3" s="179"/>
      <c r="J3" s="179"/>
      <c r="K3" s="179"/>
      <c r="L3" s="179"/>
      <c r="M3" s="179"/>
      <c r="N3" s="180"/>
    </row>
    <row r="4" spans="1:14" ht="25.5" x14ac:dyDescent="0.2">
      <c r="A4" s="198" t="s">
        <v>238</v>
      </c>
      <c r="B4" s="199" t="s">
        <v>342</v>
      </c>
      <c r="C4" s="199" t="s">
        <v>384</v>
      </c>
      <c r="D4" s="199" t="s">
        <v>241</v>
      </c>
      <c r="E4" s="199" t="s">
        <v>5</v>
      </c>
      <c r="F4" s="199" t="s">
        <v>242</v>
      </c>
      <c r="G4" s="199" t="s">
        <v>243</v>
      </c>
      <c r="H4" s="199" t="s">
        <v>385</v>
      </c>
      <c r="I4" s="199" t="s">
        <v>386</v>
      </c>
      <c r="J4" s="199" t="s">
        <v>102</v>
      </c>
      <c r="K4" s="199" t="s">
        <v>245</v>
      </c>
      <c r="L4" s="199" t="s">
        <v>246</v>
      </c>
      <c r="M4" s="230" t="s">
        <v>247</v>
      </c>
      <c r="N4" s="231" t="s">
        <v>248</v>
      </c>
    </row>
    <row r="5" spans="1:14" x14ac:dyDescent="0.2">
      <c r="A5" s="232">
        <v>0</v>
      </c>
      <c r="B5" s="134"/>
      <c r="C5" s="62"/>
      <c r="D5" s="62"/>
      <c r="E5" s="62"/>
      <c r="F5" s="62"/>
      <c r="G5" s="62"/>
      <c r="H5" s="62"/>
      <c r="I5" s="62"/>
      <c r="J5" s="62"/>
      <c r="K5" s="62"/>
      <c r="L5" s="62"/>
      <c r="M5" s="135"/>
      <c r="N5" s="63"/>
    </row>
    <row r="6" spans="1:14" x14ac:dyDescent="0.2">
      <c r="A6" s="233">
        <v>1</v>
      </c>
      <c r="B6" s="125"/>
      <c r="C6" s="64"/>
      <c r="D6" s="64"/>
      <c r="E6" s="64"/>
      <c r="F6" s="64"/>
      <c r="G6" s="64"/>
      <c r="H6" s="64"/>
      <c r="I6" s="64"/>
      <c r="J6" s="64"/>
      <c r="K6" s="64"/>
      <c r="L6" s="64"/>
      <c r="M6" s="114"/>
      <c r="N6" s="65"/>
    </row>
    <row r="7" spans="1:14" x14ac:dyDescent="0.2">
      <c r="A7" s="233">
        <v>2</v>
      </c>
      <c r="B7" s="125"/>
      <c r="C7" s="64"/>
      <c r="D7" s="64"/>
      <c r="E7" s="64"/>
      <c r="F7" s="64"/>
      <c r="G7" s="64"/>
      <c r="H7" s="64"/>
      <c r="I7" s="64"/>
      <c r="J7" s="64"/>
      <c r="K7" s="64"/>
      <c r="L7" s="64"/>
      <c r="M7" s="114"/>
      <c r="N7" s="65"/>
    </row>
    <row r="8" spans="1:14" x14ac:dyDescent="0.2">
      <c r="A8" s="233">
        <v>3</v>
      </c>
      <c r="B8" s="125"/>
      <c r="C8" s="64"/>
      <c r="D8" s="64"/>
      <c r="E8" s="64"/>
      <c r="F8" s="64"/>
      <c r="G8" s="64"/>
      <c r="H8" s="64"/>
      <c r="I8" s="64"/>
      <c r="J8" s="64"/>
      <c r="K8" s="64"/>
      <c r="L8" s="64"/>
      <c r="M8" s="114"/>
      <c r="N8" s="65"/>
    </row>
    <row r="9" spans="1:14" x14ac:dyDescent="0.2">
      <c r="A9" s="233">
        <v>4</v>
      </c>
      <c r="B9" s="125"/>
      <c r="C9" s="64"/>
      <c r="D9" s="64"/>
      <c r="E9" s="64"/>
      <c r="F9" s="64"/>
      <c r="G9" s="64"/>
      <c r="H9" s="64"/>
      <c r="I9" s="64"/>
      <c r="J9" s="64"/>
      <c r="K9" s="64"/>
      <c r="L9" s="64"/>
      <c r="M9" s="114"/>
      <c r="N9" s="65"/>
    </row>
    <row r="10" spans="1:14" x14ac:dyDescent="0.2">
      <c r="A10" s="233">
        <v>5</v>
      </c>
      <c r="B10" s="125"/>
      <c r="C10" s="64"/>
      <c r="D10" s="64"/>
      <c r="E10" s="64"/>
      <c r="F10" s="64"/>
      <c r="G10" s="64"/>
      <c r="H10" s="64"/>
      <c r="I10" s="64"/>
      <c r="J10" s="64"/>
      <c r="K10" s="64"/>
      <c r="L10" s="64"/>
      <c r="M10" s="114"/>
      <c r="N10" s="65"/>
    </row>
    <row r="11" spans="1:14" x14ac:dyDescent="0.2">
      <c r="A11" s="233"/>
      <c r="B11" s="127"/>
      <c r="C11" s="85"/>
      <c r="D11" s="85"/>
      <c r="E11" s="85"/>
      <c r="F11" s="85"/>
      <c r="G11" s="85"/>
      <c r="H11" s="85"/>
      <c r="I11" s="85"/>
      <c r="J11" s="85"/>
      <c r="K11" s="85"/>
      <c r="L11" s="85"/>
      <c r="M11" s="115"/>
      <c r="N11" s="86"/>
    </row>
    <row r="12" spans="1:14" x14ac:dyDescent="0.2">
      <c r="A12" s="234" t="s">
        <v>249</v>
      </c>
      <c r="B12" s="130"/>
      <c r="C12" s="70"/>
      <c r="D12" s="70"/>
      <c r="E12" s="70"/>
      <c r="F12" s="70"/>
      <c r="G12" s="70"/>
      <c r="H12" s="70"/>
      <c r="I12" s="70"/>
      <c r="J12" s="70"/>
      <c r="K12" s="70"/>
      <c r="L12" s="70"/>
      <c r="M12" s="116"/>
      <c r="N12" s="71"/>
    </row>
    <row r="14" spans="1:14" x14ac:dyDescent="0.2">
      <c r="C14" s="235" t="s">
        <v>250</v>
      </c>
      <c r="D14" s="139"/>
    </row>
    <row r="15" spans="1:14" x14ac:dyDescent="0.2">
      <c r="A15" s="185"/>
      <c r="C15" s="235" t="s">
        <v>251</v>
      </c>
      <c r="D15" s="140"/>
      <c r="E15" s="177" t="s">
        <v>252</v>
      </c>
      <c r="J15"/>
      <c r="K15"/>
    </row>
    <row r="16" spans="1:14" x14ac:dyDescent="0.2">
      <c r="C16" s="235" t="s">
        <v>387</v>
      </c>
      <c r="D16" s="141"/>
      <c r="J16" s="236"/>
      <c r="K16" s="236"/>
    </row>
    <row r="17" spans="1:15" x14ac:dyDescent="0.2">
      <c r="C17" s="235"/>
      <c r="D17" s="141"/>
      <c r="J17" s="237"/>
      <c r="K17" s="238"/>
    </row>
    <row r="18" spans="1:15" x14ac:dyDescent="0.2">
      <c r="A18" s="239"/>
      <c r="B18" s="240"/>
      <c r="C18" s="240"/>
      <c r="D18" s="240"/>
      <c r="E18" s="241"/>
      <c r="F18" s="242"/>
      <c r="G18" s="242"/>
      <c r="H18" s="242"/>
      <c r="I18" s="242"/>
      <c r="J18" s="237"/>
      <c r="K18" s="243"/>
      <c r="L18" s="242"/>
      <c r="M18" s="242"/>
      <c r="N18" s="242"/>
      <c r="O18" s="240"/>
    </row>
    <row r="19" spans="1:15" ht="15.75" x14ac:dyDescent="0.25">
      <c r="A19" s="244"/>
      <c r="B19" s="242"/>
      <c r="C19" s="245"/>
      <c r="D19" s="242"/>
      <c r="E19" s="246"/>
      <c r="F19" s="242"/>
      <c r="G19" s="242"/>
      <c r="H19" s="242"/>
      <c r="I19" s="242"/>
      <c r="J19" s="237"/>
      <c r="K19" s="238"/>
      <c r="L19" s="242"/>
      <c r="M19" s="242"/>
      <c r="N19" s="242"/>
    </row>
    <row r="20" spans="1:15" x14ac:dyDescent="0.2">
      <c r="J20" s="237"/>
      <c r="K20" s="238"/>
    </row>
    <row r="21" spans="1:15" x14ac:dyDescent="0.2">
      <c r="A21" s="247"/>
      <c r="J21" s="248"/>
      <c r="K21" s="238"/>
    </row>
    <row r="22" spans="1:15" ht="15.75" x14ac:dyDescent="0.25">
      <c r="A22" s="178" t="s">
        <v>388</v>
      </c>
      <c r="B22" s="179"/>
      <c r="C22" s="179"/>
      <c r="D22" s="179"/>
      <c r="E22" s="179"/>
      <c r="F22" s="179"/>
      <c r="G22" s="179"/>
      <c r="H22" s="180"/>
      <c r="J22"/>
      <c r="K22"/>
    </row>
    <row r="23" spans="1:15" ht="38.25" x14ac:dyDescent="0.2">
      <c r="A23" s="198" t="s">
        <v>238</v>
      </c>
      <c r="B23" s="199" t="s">
        <v>389</v>
      </c>
      <c r="C23" s="199" t="s">
        <v>243</v>
      </c>
      <c r="D23" s="199" t="s">
        <v>347</v>
      </c>
      <c r="E23" s="199" t="s">
        <v>390</v>
      </c>
      <c r="F23" s="199" t="s">
        <v>246</v>
      </c>
      <c r="G23" s="230" t="s">
        <v>247</v>
      </c>
      <c r="H23" s="231" t="s">
        <v>248</v>
      </c>
      <c r="K23" s="402" t="s">
        <v>254</v>
      </c>
      <c r="L23" s="402"/>
    </row>
    <row r="24" spans="1:15" x14ac:dyDescent="0.2">
      <c r="A24" s="232">
        <v>0</v>
      </c>
      <c r="B24" s="134"/>
      <c r="C24" s="62"/>
      <c r="D24" s="62"/>
      <c r="E24" s="62"/>
      <c r="F24" s="62"/>
      <c r="G24" s="135"/>
      <c r="H24" s="63"/>
      <c r="K24" s="405" t="s">
        <v>255</v>
      </c>
      <c r="L24" s="405"/>
    </row>
    <row r="25" spans="1:15" x14ac:dyDescent="0.2">
      <c r="A25" s="233">
        <v>1</v>
      </c>
      <c r="B25" s="125"/>
      <c r="C25" s="64"/>
      <c r="D25" s="64"/>
      <c r="E25" s="64"/>
      <c r="F25" s="64"/>
      <c r="G25" s="114"/>
      <c r="H25" s="65"/>
      <c r="K25" s="143" t="s">
        <v>102</v>
      </c>
      <c r="L25" s="144" t="str">
        <f>IF(B12=J12,"OK","MAL")</f>
        <v>OK</v>
      </c>
    </row>
    <row r="26" spans="1:15" x14ac:dyDescent="0.2">
      <c r="A26" s="233">
        <v>2</v>
      </c>
      <c r="B26" s="125"/>
      <c r="C26" s="64"/>
      <c r="D26" s="64"/>
      <c r="E26" s="64"/>
      <c r="F26" s="64"/>
      <c r="G26" s="114"/>
      <c r="H26" s="65"/>
      <c r="J26"/>
      <c r="K26" s="143" t="s">
        <v>256</v>
      </c>
      <c r="L26" s="144" t="str">
        <f>IF(D12=K12,"OK","MAL")</f>
        <v>OK</v>
      </c>
    </row>
    <row r="27" spans="1:15" x14ac:dyDescent="0.2">
      <c r="A27" s="233">
        <v>3</v>
      </c>
      <c r="B27" s="125"/>
      <c r="C27" s="64"/>
      <c r="D27" s="64"/>
      <c r="E27" s="64"/>
      <c r="F27" s="64"/>
      <c r="G27" s="114"/>
      <c r="H27" s="65"/>
      <c r="J27"/>
      <c r="K27" s="143" t="s">
        <v>257</v>
      </c>
      <c r="L27" s="144" t="str">
        <f>IF(C12=0,"OK","MAL")</f>
        <v>OK</v>
      </c>
    </row>
    <row r="28" spans="1:15" x14ac:dyDescent="0.2">
      <c r="A28" s="233">
        <v>4</v>
      </c>
      <c r="B28" s="125"/>
      <c r="C28" s="64"/>
      <c r="D28" s="64"/>
      <c r="E28" s="64"/>
      <c r="F28" s="64"/>
      <c r="G28" s="114"/>
      <c r="H28" s="65"/>
      <c r="J28"/>
      <c r="K28" s="143" t="s">
        <v>258</v>
      </c>
      <c r="L28" s="144" t="str">
        <f>IF((H12-F12-E12+I12)=M12,IF(M12=N10,"OK","MAL"),"MAL")</f>
        <v>OK</v>
      </c>
    </row>
    <row r="29" spans="1:15" x14ac:dyDescent="0.2">
      <c r="A29" s="233">
        <v>5</v>
      </c>
      <c r="B29" s="125"/>
      <c r="C29" s="64"/>
      <c r="D29" s="64"/>
      <c r="E29" s="64"/>
      <c r="F29" s="64"/>
      <c r="G29" s="114"/>
      <c r="H29" s="65"/>
      <c r="J29"/>
      <c r="K29" s="405" t="s">
        <v>391</v>
      </c>
      <c r="L29" s="405"/>
    </row>
    <row r="30" spans="1:15" x14ac:dyDescent="0.2">
      <c r="A30" s="233"/>
      <c r="B30" s="127"/>
      <c r="C30" s="85"/>
      <c r="D30" s="85"/>
      <c r="E30" s="85"/>
      <c r="F30" s="85"/>
      <c r="G30" s="115"/>
      <c r="H30" s="86"/>
      <c r="J30"/>
      <c r="K30" s="143" t="s">
        <v>392</v>
      </c>
      <c r="L30" s="144" t="str">
        <f>IF((H12-E12-F12)=G31,"OK","MAL")</f>
        <v>OK</v>
      </c>
    </row>
    <row r="31" spans="1:15" x14ac:dyDescent="0.2">
      <c r="A31" s="234" t="s">
        <v>249</v>
      </c>
      <c r="B31" s="130"/>
      <c r="C31" s="70"/>
      <c r="D31" s="70"/>
      <c r="E31" s="70"/>
      <c r="F31" s="70"/>
      <c r="G31" s="116"/>
      <c r="H31" s="71"/>
      <c r="K31" s="143" t="s">
        <v>393</v>
      </c>
      <c r="L31" s="144" t="str">
        <f>IF(('F- CFyU'!H28-'F- CFyU'!H7-'F- CFyU'!H8+'F- CFyU'!H14-'F- CFyU'!H25+'F- CFyU'!H15)='F- Form'!G31,"OK","MAL")</f>
        <v>OK</v>
      </c>
    </row>
    <row r="32" spans="1:15" x14ac:dyDescent="0.2">
      <c r="K32" s="143" t="s">
        <v>394</v>
      </c>
      <c r="L32" s="144" t="str">
        <f>IF('F-CRes'!G14=G31,"OK","MAL")</f>
        <v>OK</v>
      </c>
    </row>
    <row r="33" spans="3:12" x14ac:dyDescent="0.2">
      <c r="K33" s="143" t="s">
        <v>395</v>
      </c>
      <c r="L33" s="144" t="str">
        <f>IF(('F-Balance'!G33+'F-Balance'!G34)='F- Form'!G31,"OK","MAL")</f>
        <v>OK</v>
      </c>
    </row>
    <row r="34" spans="3:12" x14ac:dyDescent="0.2">
      <c r="C34" s="235" t="s">
        <v>250</v>
      </c>
      <c r="D34" s="139"/>
      <c r="E34" s="177" t="s">
        <v>396</v>
      </c>
      <c r="K34" s="143" t="s">
        <v>397</v>
      </c>
      <c r="L34" s="144" t="str">
        <f>IF(('F- CFyU'!H10-'F- CFyU'!H16-'F- CFyU'!H19-'F- CFyU'!H17)=G31,"OK","MAL")</f>
        <v>OK</v>
      </c>
    </row>
    <row r="35" spans="3:12" x14ac:dyDescent="0.2">
      <c r="C35" s="235" t="s">
        <v>251</v>
      </c>
      <c r="D35" s="140"/>
      <c r="E35" s="177" t="s">
        <v>398</v>
      </c>
      <c r="K35" s="405" t="s">
        <v>399</v>
      </c>
      <c r="L35" s="405"/>
    </row>
    <row r="36" spans="3:12" x14ac:dyDescent="0.2">
      <c r="C36" s="235" t="s">
        <v>400</v>
      </c>
      <c r="D36" s="141"/>
      <c r="K36" s="143" t="s">
        <v>401</v>
      </c>
      <c r="L36" s="144" t="str">
        <f>IF(SUM('F-Balance'!B35:G35)=SUM('F-Balance'!B24:G24),"OK","MAL")</f>
        <v>OK</v>
      </c>
    </row>
  </sheetData>
  <sheetProtection selectLockedCells="1" selectUnlockedCells="1"/>
  <mergeCells count="4">
    <mergeCell ref="K23:L23"/>
    <mergeCell ref="K24:L24"/>
    <mergeCell ref="K29:L29"/>
    <mergeCell ref="K35:L35"/>
  </mergeCells>
  <conditionalFormatting sqref="L25">
    <cfRule type="cellIs" dxfId="19" priority="1" stopIfTrue="1" operator="equal">
      <formula>"OK"</formula>
    </cfRule>
    <cfRule type="cellIs" dxfId="18" priority="2" stopIfTrue="1" operator="equal">
      <formula>"MAL"</formula>
    </cfRule>
  </conditionalFormatting>
  <conditionalFormatting sqref="L26">
    <cfRule type="cellIs" dxfId="17" priority="3" stopIfTrue="1" operator="equal">
      <formula>"OK"</formula>
    </cfRule>
    <cfRule type="cellIs" dxfId="16" priority="4" stopIfTrue="1" operator="equal">
      <formula>"MAL"</formula>
    </cfRule>
  </conditionalFormatting>
  <conditionalFormatting sqref="L27">
    <cfRule type="cellIs" dxfId="15" priority="5" stopIfTrue="1" operator="equal">
      <formula>"OK"</formula>
    </cfRule>
    <cfRule type="cellIs" dxfId="14" priority="6" stopIfTrue="1" operator="equal">
      <formula>"MAL"</formula>
    </cfRule>
  </conditionalFormatting>
  <conditionalFormatting sqref="L28">
    <cfRule type="cellIs" dxfId="13" priority="7" stopIfTrue="1" operator="equal">
      <formula>"OK"</formula>
    </cfRule>
    <cfRule type="cellIs" dxfId="12" priority="8" stopIfTrue="1" operator="equal">
      <formula>"MAL"</formula>
    </cfRule>
  </conditionalFormatting>
  <conditionalFormatting sqref="L30">
    <cfRule type="cellIs" dxfId="11" priority="9" stopIfTrue="1" operator="equal">
      <formula>"OK"</formula>
    </cfRule>
    <cfRule type="cellIs" dxfId="10" priority="10" stopIfTrue="1" operator="equal">
      <formula>"MAL"</formula>
    </cfRule>
  </conditionalFormatting>
  <conditionalFormatting sqref="L31">
    <cfRule type="cellIs" dxfId="9" priority="11" stopIfTrue="1" operator="equal">
      <formula>"OK"</formula>
    </cfRule>
    <cfRule type="cellIs" dxfId="8" priority="12" stopIfTrue="1" operator="equal">
      <formula>"MAL"</formula>
    </cfRule>
  </conditionalFormatting>
  <conditionalFormatting sqref="L32">
    <cfRule type="cellIs" dxfId="7" priority="13" stopIfTrue="1" operator="equal">
      <formula>"OK"</formula>
    </cfRule>
    <cfRule type="cellIs" dxfId="6" priority="14" stopIfTrue="1" operator="equal">
      <formula>"MAL"</formula>
    </cfRule>
  </conditionalFormatting>
  <conditionalFormatting sqref="L33">
    <cfRule type="cellIs" dxfId="5" priority="15" stopIfTrue="1" operator="equal">
      <formula>"OK"</formula>
    </cfRule>
    <cfRule type="cellIs" dxfId="4" priority="16" stopIfTrue="1" operator="equal">
      <formula>"MAL"</formula>
    </cfRule>
  </conditionalFormatting>
  <conditionalFormatting sqref="L34">
    <cfRule type="cellIs" dxfId="3" priority="17" stopIfTrue="1" operator="equal">
      <formula>"OK"</formula>
    </cfRule>
    <cfRule type="cellIs" dxfId="2" priority="18" stopIfTrue="1" operator="equal">
      <formula>"MAL"</formula>
    </cfRule>
  </conditionalFormatting>
  <conditionalFormatting sqref="L36">
    <cfRule type="cellIs" dxfId="1" priority="19" stopIfTrue="1" operator="equal">
      <formula>"OK"</formula>
    </cfRule>
    <cfRule type="cellIs" dxfId="0" priority="20" stopIfTrue="1" operator="equal">
      <formula>"MAL"</formula>
    </cfRule>
  </conditionalFormatting>
  <pageMargins left="0.25972222222222224" right="0.4597222222222222" top="1.2701388888888889" bottom="1" header="0.51180555555555551" footer="0.51180555555555551"/>
  <pageSetup paperSize="9" firstPageNumber="0" fitToHeight="4" orientation="landscape" horizontalDpi="300" verticalDpi="300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34"/>
  <sheetViews>
    <sheetView topLeftCell="A10" zoomScale="90" zoomScaleNormal="90" workbookViewId="0">
      <selection activeCell="B13" sqref="B13"/>
    </sheetView>
  </sheetViews>
  <sheetFormatPr baseColWidth="10" defaultColWidth="11" defaultRowHeight="12.75" x14ac:dyDescent="0.2"/>
  <cols>
    <col min="1" max="1" width="42.140625" customWidth="1"/>
    <col min="2" max="3" width="11" customWidth="1"/>
    <col min="4" max="4" width="17.42578125" customWidth="1"/>
    <col min="5" max="5" width="11" customWidth="1"/>
    <col min="6" max="6" width="6.85546875" customWidth="1"/>
    <col min="7" max="12" width="11" customWidth="1"/>
    <col min="13" max="13" width="16.85546875" customWidth="1"/>
  </cols>
  <sheetData>
    <row r="1" spans="1:13" x14ac:dyDescent="0.2">
      <c r="A1" s="1" t="s">
        <v>0</v>
      </c>
      <c r="E1" s="2">
        <v>8</v>
      </c>
    </row>
    <row r="2" spans="1:13" ht="15" x14ac:dyDescent="0.25">
      <c r="G2" s="393" t="s">
        <v>1</v>
      </c>
      <c r="H2" s="393"/>
      <c r="I2" s="393"/>
      <c r="J2" s="393"/>
      <c r="K2" s="393"/>
      <c r="L2" s="393"/>
      <c r="M2" s="393"/>
    </row>
    <row r="3" spans="1:13" ht="14.85" customHeight="1" x14ac:dyDescent="0.2">
      <c r="A3" s="3" t="s">
        <v>2</v>
      </c>
      <c r="B3" s="4">
        <v>0.21</v>
      </c>
      <c r="G3" s="394" t="s">
        <v>3</v>
      </c>
      <c r="H3" s="394"/>
      <c r="I3" s="394"/>
      <c r="J3" s="394"/>
      <c r="K3" s="394"/>
      <c r="L3" s="394"/>
      <c r="M3" s="394"/>
    </row>
    <row r="4" spans="1:13" x14ac:dyDescent="0.2">
      <c r="A4" s="3" t="s">
        <v>4</v>
      </c>
      <c r="B4" s="4">
        <v>0.35</v>
      </c>
      <c r="G4" s="394"/>
      <c r="H4" s="394"/>
      <c r="I4" s="394"/>
      <c r="J4" s="394"/>
      <c r="K4" s="394"/>
      <c r="L4" s="394"/>
      <c r="M4" s="394"/>
    </row>
    <row r="5" spans="1:13" x14ac:dyDescent="0.2">
      <c r="A5" s="3" t="s">
        <v>5</v>
      </c>
      <c r="B5" s="4">
        <v>0.1</v>
      </c>
      <c r="C5" t="s">
        <v>6</v>
      </c>
      <c r="G5" s="394"/>
      <c r="H5" s="394"/>
      <c r="I5" s="394"/>
      <c r="J5" s="394"/>
      <c r="K5" s="394"/>
      <c r="L5" s="394"/>
      <c r="M5" s="394"/>
    </row>
    <row r="6" spans="1:13" x14ac:dyDescent="0.2">
      <c r="G6" s="394"/>
      <c r="H6" s="394"/>
      <c r="I6" s="394"/>
      <c r="J6" s="394"/>
      <c r="K6" s="394"/>
      <c r="L6" s="394"/>
      <c r="M6" s="394"/>
    </row>
    <row r="7" spans="1:13" ht="14.85" customHeight="1" x14ac:dyDescent="0.2">
      <c r="A7" s="3" t="s">
        <v>7</v>
      </c>
      <c r="B7" t="s">
        <v>8</v>
      </c>
      <c r="G7" s="395" t="s">
        <v>9</v>
      </c>
      <c r="H7" s="395"/>
      <c r="I7" s="395"/>
      <c r="J7" s="395"/>
      <c r="K7" s="395"/>
      <c r="L7" s="395"/>
      <c r="M7" s="395"/>
    </row>
    <row r="8" spans="1:13" x14ac:dyDescent="0.2">
      <c r="A8" s="5" t="s">
        <v>10</v>
      </c>
      <c r="B8" s="6">
        <v>30</v>
      </c>
      <c r="C8" t="s">
        <v>11</v>
      </c>
      <c r="G8" s="395"/>
      <c r="H8" s="395"/>
      <c r="I8" s="395"/>
      <c r="J8" s="395"/>
      <c r="K8" s="395"/>
      <c r="L8" s="395"/>
      <c r="M8" s="395"/>
    </row>
    <row r="9" spans="1:13" x14ac:dyDescent="0.2">
      <c r="A9" s="5" t="s">
        <v>12</v>
      </c>
      <c r="B9" s="6">
        <v>10</v>
      </c>
      <c r="C9" t="s">
        <v>11</v>
      </c>
      <c r="G9" s="396" t="s">
        <v>13</v>
      </c>
      <c r="H9" s="396"/>
      <c r="I9" s="396"/>
      <c r="J9" s="396"/>
      <c r="K9" s="396"/>
      <c r="L9" s="396"/>
      <c r="M9" s="396"/>
    </row>
    <row r="10" spans="1:13" ht="14.85" customHeight="1" x14ac:dyDescent="0.2">
      <c r="A10" s="5" t="s">
        <v>14</v>
      </c>
      <c r="B10" s="6">
        <v>10</v>
      </c>
      <c r="C10" t="s">
        <v>11</v>
      </c>
      <c r="G10" s="397" t="s">
        <v>15</v>
      </c>
      <c r="H10" s="397"/>
      <c r="I10" s="397"/>
      <c r="J10" s="397"/>
      <c r="K10" s="397"/>
      <c r="L10" s="397"/>
      <c r="M10" s="397"/>
    </row>
    <row r="11" spans="1:13" x14ac:dyDescent="0.2">
      <c r="A11" s="5" t="s">
        <v>16</v>
      </c>
      <c r="B11" s="6">
        <v>5</v>
      </c>
      <c r="C11" t="s">
        <v>11</v>
      </c>
      <c r="G11" s="397"/>
      <c r="H11" s="397"/>
      <c r="I11" s="397"/>
      <c r="J11" s="397"/>
      <c r="K11" s="397"/>
      <c r="L11" s="397"/>
      <c r="M11" s="397"/>
    </row>
    <row r="12" spans="1:13" ht="14.85" customHeight="1" x14ac:dyDescent="0.2">
      <c r="A12" s="5" t="s">
        <v>17</v>
      </c>
      <c r="B12" s="6">
        <v>5</v>
      </c>
      <c r="C12" t="s">
        <v>11</v>
      </c>
      <c r="G12" s="397" t="s">
        <v>18</v>
      </c>
      <c r="H12" s="397"/>
      <c r="I12" s="397"/>
      <c r="J12" s="397"/>
      <c r="K12" s="397"/>
      <c r="L12" s="397"/>
      <c r="M12" s="397"/>
    </row>
    <row r="13" spans="1:13" x14ac:dyDescent="0.2">
      <c r="A13" s="5" t="s">
        <v>19</v>
      </c>
      <c r="B13" s="6">
        <v>3</v>
      </c>
      <c r="C13" t="s">
        <v>11</v>
      </c>
      <c r="G13" s="397"/>
      <c r="H13" s="397"/>
      <c r="I13" s="397"/>
      <c r="J13" s="397"/>
      <c r="K13" s="397"/>
      <c r="L13" s="397"/>
      <c r="M13" s="397"/>
    </row>
    <row r="14" spans="1:13" x14ac:dyDescent="0.2">
      <c r="A14" s="5" t="s">
        <v>20</v>
      </c>
      <c r="B14" s="6">
        <v>5</v>
      </c>
      <c r="C14" t="s">
        <v>11</v>
      </c>
    </row>
    <row r="15" spans="1:13" x14ac:dyDescent="0.2">
      <c r="A15" s="5" t="s">
        <v>21</v>
      </c>
      <c r="B15" s="7">
        <v>7.0000000000000007E-2</v>
      </c>
    </row>
    <row r="17" spans="1:7" x14ac:dyDescent="0.2">
      <c r="A17" s="3" t="s">
        <v>22</v>
      </c>
      <c r="B17" s="8" t="s">
        <v>402</v>
      </c>
      <c r="C17" s="9"/>
      <c r="D17" s="9"/>
      <c r="E17" s="9"/>
      <c r="F17" s="9"/>
      <c r="G17" s="10"/>
    </row>
    <row r="19" spans="1:7" x14ac:dyDescent="0.2">
      <c r="A19" s="3" t="s">
        <v>23</v>
      </c>
      <c r="B19" s="249">
        <v>2741000</v>
      </c>
      <c r="C19" t="s">
        <v>24</v>
      </c>
    </row>
    <row r="20" spans="1:7" x14ac:dyDescent="0.2">
      <c r="A20" s="3" t="s">
        <v>25</v>
      </c>
      <c r="B20" s="11">
        <v>5</v>
      </c>
      <c r="C20" t="s">
        <v>26</v>
      </c>
    </row>
    <row r="22" spans="1:7" x14ac:dyDescent="0.2">
      <c r="A22" s="3" t="s">
        <v>27</v>
      </c>
    </row>
    <row r="23" spans="1:7" x14ac:dyDescent="0.2">
      <c r="A23" s="3" t="s">
        <v>28</v>
      </c>
      <c r="B23" s="11">
        <v>7</v>
      </c>
      <c r="C23" t="s">
        <v>29</v>
      </c>
    </row>
    <row r="24" spans="1:7" x14ac:dyDescent="0.2">
      <c r="A24" s="3" t="s">
        <v>30</v>
      </c>
      <c r="B24" s="11">
        <v>1</v>
      </c>
      <c r="C24" t="s">
        <v>29</v>
      </c>
    </row>
    <row r="25" spans="1:7" x14ac:dyDescent="0.2">
      <c r="A25" s="3" t="s">
        <v>31</v>
      </c>
      <c r="B25" s="11">
        <v>2</v>
      </c>
      <c r="C25" t="s">
        <v>29</v>
      </c>
    </row>
    <row r="27" spans="1:7" x14ac:dyDescent="0.2">
      <c r="A27" s="3" t="s">
        <v>32</v>
      </c>
      <c r="B27" s="11">
        <v>600</v>
      </c>
      <c r="C27" t="s">
        <v>33</v>
      </c>
      <c r="D27" t="s">
        <v>403</v>
      </c>
    </row>
    <row r="28" spans="1:7" x14ac:dyDescent="0.2">
      <c r="A28" s="3" t="s">
        <v>34</v>
      </c>
      <c r="B28" s="11">
        <v>12</v>
      </c>
      <c r="C28" t="s">
        <v>35</v>
      </c>
    </row>
    <row r="29" spans="1:7" x14ac:dyDescent="0.2">
      <c r="A29" s="3" t="s">
        <v>36</v>
      </c>
      <c r="B29" s="11">
        <v>2</v>
      </c>
      <c r="C29" t="s">
        <v>35</v>
      </c>
    </row>
    <row r="32" spans="1:7" x14ac:dyDescent="0.2">
      <c r="A32" s="3" t="s">
        <v>37</v>
      </c>
      <c r="B32" s="11">
        <v>39</v>
      </c>
      <c r="C32" t="s">
        <v>38</v>
      </c>
      <c r="D32" s="11">
        <v>1</v>
      </c>
      <c r="E32" t="s">
        <v>39</v>
      </c>
    </row>
    <row r="33" spans="1:7" x14ac:dyDescent="0.2">
      <c r="A33" s="12"/>
    </row>
    <row r="34" spans="1:7" x14ac:dyDescent="0.2">
      <c r="A34" s="12"/>
    </row>
    <row r="35" spans="1:7" x14ac:dyDescent="0.2">
      <c r="A35" s="3" t="s">
        <v>40</v>
      </c>
      <c r="B35" s="13"/>
      <c r="C35" t="s">
        <v>41</v>
      </c>
      <c r="G35" s="14" t="s">
        <v>42</v>
      </c>
    </row>
    <row r="36" spans="1:7" x14ac:dyDescent="0.2">
      <c r="A36" s="3" t="s">
        <v>43</v>
      </c>
      <c r="B36" s="392"/>
      <c r="C36" s="392"/>
      <c r="D36" s="392"/>
    </row>
    <row r="37" spans="1:7" x14ac:dyDescent="0.2">
      <c r="A37" s="3" t="s">
        <v>44</v>
      </c>
      <c r="B37" s="15"/>
    </row>
    <row r="38" spans="1:7" x14ac:dyDescent="0.2">
      <c r="A38" s="3"/>
    </row>
    <row r="39" spans="1:7" x14ac:dyDescent="0.2">
      <c r="A39" s="3" t="s">
        <v>45</v>
      </c>
      <c r="B39" s="11">
        <v>30</v>
      </c>
    </row>
    <row r="40" spans="1:7" x14ac:dyDescent="0.2">
      <c r="A40" s="3" t="s">
        <v>46</v>
      </c>
      <c r="B40" s="11"/>
    </row>
    <row r="41" spans="1:7" x14ac:dyDescent="0.2">
      <c r="A41" s="3" t="s">
        <v>47</v>
      </c>
      <c r="B41" s="11"/>
      <c r="C41" t="s">
        <v>41</v>
      </c>
    </row>
    <row r="134" spans="9:9" x14ac:dyDescent="0.2">
      <c r="I134" s="14" t="s">
        <v>48</v>
      </c>
    </row>
  </sheetData>
  <sheetProtection selectLockedCells="1" selectUnlockedCells="1"/>
  <mergeCells count="7">
    <mergeCell ref="B36:D36"/>
    <mergeCell ref="G2:M2"/>
    <mergeCell ref="G3:M6"/>
    <mergeCell ref="G7:M8"/>
    <mergeCell ref="G9:M9"/>
    <mergeCell ref="G10:M11"/>
    <mergeCell ref="G12:M13"/>
  </mergeCells>
  <pageMargins left="0.75" right="0.75" top="0.7" bottom="1" header="0.51180555555555551" footer="0.51180555555555551"/>
  <pageSetup paperSize="9" firstPageNumber="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7"/>
  <sheetViews>
    <sheetView topLeftCell="A43" zoomScale="90" zoomScaleNormal="90" workbookViewId="0">
      <selection activeCell="F64" sqref="E64:F64"/>
    </sheetView>
  </sheetViews>
  <sheetFormatPr baseColWidth="10" defaultRowHeight="12.75" x14ac:dyDescent="0.2"/>
  <cols>
    <col min="1" max="1" width="45.42578125" style="16" customWidth="1"/>
    <col min="2" max="2" width="16" style="16" bestFit="1" customWidth="1"/>
    <col min="3" max="7" width="14.85546875" style="16" customWidth="1"/>
    <col min="8" max="8" width="11.42578125" style="16"/>
    <col min="9" max="9" width="13" style="16" bestFit="1" customWidth="1"/>
    <col min="10" max="10" width="16.28515625" style="16" bestFit="1" customWidth="1"/>
    <col min="11" max="16384" width="11.42578125" style="16"/>
  </cols>
  <sheetData>
    <row r="1" spans="1:5" x14ac:dyDescent="0.2">
      <c r="A1" s="1" t="s">
        <v>49</v>
      </c>
      <c r="B1"/>
      <c r="C1"/>
      <c r="D1"/>
      <c r="E1" s="2">
        <f>InfoInicial!E1</f>
        <v>8</v>
      </c>
    </row>
    <row r="3" spans="1:5" ht="15.75" x14ac:dyDescent="0.25">
      <c r="A3" s="17" t="s">
        <v>50</v>
      </c>
      <c r="B3" s="398" t="s">
        <v>51</v>
      </c>
      <c r="C3" s="398"/>
      <c r="D3" s="399" t="s">
        <v>52</v>
      </c>
      <c r="E3" s="399"/>
    </row>
    <row r="4" spans="1:5" ht="15.75" x14ac:dyDescent="0.25">
      <c r="A4" s="20"/>
      <c r="B4" s="21" t="s">
        <v>53</v>
      </c>
      <c r="C4" s="21" t="s">
        <v>54</v>
      </c>
      <c r="D4" s="21" t="s">
        <v>53</v>
      </c>
      <c r="E4" s="22" t="s">
        <v>54</v>
      </c>
    </row>
    <row r="5" spans="1:5" x14ac:dyDescent="0.2">
      <c r="A5" s="23"/>
      <c r="B5" s="24"/>
      <c r="C5" s="24"/>
      <c r="D5" s="24"/>
      <c r="E5" s="24"/>
    </row>
    <row r="6" spans="1:5" x14ac:dyDescent="0.2">
      <c r="A6" s="25" t="s">
        <v>55</v>
      </c>
      <c r="B6" s="26"/>
      <c r="C6" s="26"/>
      <c r="D6" s="26"/>
      <c r="E6" s="26"/>
    </row>
    <row r="7" spans="1:5" x14ac:dyDescent="0.2">
      <c r="A7" s="27" t="s">
        <v>56</v>
      </c>
      <c r="B7" s="28">
        <f>+Datos!C12*0.2</f>
        <v>1973400</v>
      </c>
      <c r="C7" s="28"/>
      <c r="D7" s="28"/>
      <c r="E7" s="28"/>
    </row>
    <row r="8" spans="1:5" x14ac:dyDescent="0.2">
      <c r="A8" s="27" t="s">
        <v>57</v>
      </c>
      <c r="B8" s="28">
        <f>+Datos!C12*0.8</f>
        <v>7893600</v>
      </c>
      <c r="C8" s="28"/>
      <c r="D8" s="28"/>
      <c r="E8" s="28"/>
    </row>
    <row r="9" spans="1:5" x14ac:dyDescent="0.2">
      <c r="A9" s="27" t="s">
        <v>58</v>
      </c>
      <c r="B9" s="28">
        <f>+Datos!B37</f>
        <v>630000</v>
      </c>
      <c r="C9" s="28"/>
      <c r="D9" s="28"/>
      <c r="E9" s="28"/>
    </row>
    <row r="10" spans="1:5" x14ac:dyDescent="0.2">
      <c r="A10" s="27" t="s">
        <v>59</v>
      </c>
      <c r="B10" s="28"/>
      <c r="C10" s="28"/>
      <c r="D10" s="28"/>
      <c r="E10" s="28"/>
    </row>
    <row r="11" spans="1:5" x14ac:dyDescent="0.2">
      <c r="A11" s="27" t="s">
        <v>60</v>
      </c>
      <c r="B11" s="28"/>
      <c r="C11" s="28"/>
      <c r="D11" s="28">
        <f>+Datos!C4+Datos!C6</f>
        <v>152100</v>
      </c>
      <c r="E11" s="28"/>
    </row>
    <row r="12" spans="1:5" x14ac:dyDescent="0.2">
      <c r="A12" s="27" t="s">
        <v>61</v>
      </c>
      <c r="B12" s="28">
        <f>+Datos!C5+Datos!C7+Datos!D8+Datos!F9</f>
        <v>426342</v>
      </c>
      <c r="C12" s="28"/>
      <c r="D12" s="28"/>
      <c r="E12" s="28"/>
    </row>
    <row r="13" spans="1:5" x14ac:dyDescent="0.2">
      <c r="A13" s="29" t="s">
        <v>62</v>
      </c>
      <c r="B13" s="28">
        <f>+D11*0.1</f>
        <v>15210</v>
      </c>
      <c r="C13" s="28"/>
      <c r="D13" s="28"/>
      <c r="E13" s="28"/>
    </row>
    <row r="14" spans="1:5" x14ac:dyDescent="0.2">
      <c r="A14" s="27" t="s">
        <v>63</v>
      </c>
      <c r="B14" s="28">
        <f>3*4000</f>
        <v>12000</v>
      </c>
      <c r="C14" s="28"/>
      <c r="D14" s="28">
        <f>2*6000</f>
        <v>12000</v>
      </c>
      <c r="E14" s="28"/>
    </row>
    <row r="15" spans="1:5" x14ac:dyDescent="0.2">
      <c r="A15" s="27" t="s">
        <v>64</v>
      </c>
      <c r="B15" s="28">
        <f>+Datos!F9</f>
        <v>11342</v>
      </c>
      <c r="C15" s="28"/>
      <c r="D15" s="28"/>
      <c r="E15" s="28"/>
    </row>
    <row r="16" spans="1:5" x14ac:dyDescent="0.2">
      <c r="A16" s="27" t="s">
        <v>65</v>
      </c>
      <c r="B16" s="28">
        <f>+Datos!D24</f>
        <v>356500</v>
      </c>
      <c r="C16" s="28"/>
      <c r="D16" s="28"/>
      <c r="E16" s="28"/>
    </row>
    <row r="17" spans="1:5" x14ac:dyDescent="0.2">
      <c r="A17" s="27" t="s">
        <v>66</v>
      </c>
      <c r="B17" s="28">
        <v>0</v>
      </c>
      <c r="C17" s="28"/>
      <c r="D17" s="28"/>
      <c r="E17" s="28"/>
    </row>
    <row r="18" spans="1:5" x14ac:dyDescent="0.2">
      <c r="A18" s="27" t="s">
        <v>21</v>
      </c>
      <c r="B18" s="28">
        <f>0.07*SUM(B7:B17)</f>
        <v>792287.58000000007</v>
      </c>
      <c r="C18" s="28">
        <f>0.07*SUM(C7:C17)</f>
        <v>0</v>
      </c>
      <c r="D18" s="28">
        <f>0.07*SUM(D7:D17)</f>
        <v>11487.000000000002</v>
      </c>
      <c r="E18" s="28">
        <f>0.07*SUM(E7:E17)</f>
        <v>0</v>
      </c>
    </row>
    <row r="19" spans="1:5" x14ac:dyDescent="0.2">
      <c r="A19" s="27"/>
      <c r="B19" s="28"/>
      <c r="C19" s="28"/>
      <c r="D19" s="28"/>
      <c r="E19" s="28"/>
    </row>
    <row r="20" spans="1:5" x14ac:dyDescent="0.2">
      <c r="A20" s="25" t="s">
        <v>67</v>
      </c>
      <c r="B20" s="28">
        <f>+SUM(B7:B18)</f>
        <v>12110681.58</v>
      </c>
      <c r="C20" s="28">
        <f>+SUM(C7:C18)</f>
        <v>0</v>
      </c>
      <c r="D20" s="28">
        <f>+SUM(D7:D18)</f>
        <v>175587</v>
      </c>
      <c r="E20" s="28">
        <f>+SUM(E7:E18)</f>
        <v>0</v>
      </c>
    </row>
    <row r="21" spans="1:5" x14ac:dyDescent="0.2">
      <c r="A21" s="27"/>
      <c r="B21" s="30"/>
      <c r="C21" s="30"/>
      <c r="D21" s="30"/>
      <c r="E21" s="30"/>
    </row>
    <row r="22" spans="1:5" x14ac:dyDescent="0.2">
      <c r="A22" s="25" t="s">
        <v>68</v>
      </c>
      <c r="B22" s="30"/>
      <c r="C22" s="30"/>
      <c r="D22" s="30"/>
      <c r="E22" s="30"/>
    </row>
    <row r="23" spans="1:5" x14ac:dyDescent="0.2">
      <c r="A23" s="27" t="s">
        <v>69</v>
      </c>
      <c r="B23" s="28">
        <v>25000</v>
      </c>
      <c r="C23" s="28"/>
      <c r="D23" s="28"/>
      <c r="E23" s="28"/>
    </row>
    <row r="24" spans="1:5" x14ac:dyDescent="0.2">
      <c r="A24" s="27" t="s">
        <v>70</v>
      </c>
      <c r="B24" s="28">
        <v>20000</v>
      </c>
      <c r="C24" s="28"/>
      <c r="D24" s="28"/>
      <c r="E24" s="28"/>
    </row>
    <row r="25" spans="1:5" x14ac:dyDescent="0.2">
      <c r="A25" s="27" t="s">
        <v>71</v>
      </c>
      <c r="B25" s="28">
        <v>25000</v>
      </c>
      <c r="C25" s="28"/>
      <c r="D25" s="28"/>
      <c r="E25" s="28"/>
    </row>
    <row r="26" spans="1:5" x14ac:dyDescent="0.2">
      <c r="A26" s="29" t="s">
        <v>72</v>
      </c>
      <c r="B26" s="28"/>
      <c r="C26" s="28">
        <f>+'E-Costos'!G35</f>
        <v>87468.89206762785</v>
      </c>
      <c r="D26" s="28"/>
      <c r="E26" s="28"/>
    </row>
    <row r="27" spans="1:5" x14ac:dyDescent="0.2">
      <c r="A27" s="29" t="s">
        <v>73</v>
      </c>
      <c r="B27" s="28">
        <v>0</v>
      </c>
      <c r="C27" s="28"/>
      <c r="D27" s="28"/>
      <c r="E27" s="28"/>
    </row>
    <row r="28" spans="1:5" x14ac:dyDescent="0.2">
      <c r="A28" s="29" t="s">
        <v>74</v>
      </c>
      <c r="B28" s="28">
        <v>0</v>
      </c>
      <c r="C28" s="28"/>
      <c r="D28" s="28"/>
      <c r="E28" s="28"/>
    </row>
    <row r="29" spans="1:5" x14ac:dyDescent="0.2">
      <c r="A29" s="27" t="s">
        <v>21</v>
      </c>
      <c r="B29" s="28">
        <f>+SUM(B23:C28)*InfoInicial!B15</f>
        <v>11022.822444733951</v>
      </c>
      <c r="C29" s="28"/>
      <c r="D29" s="28"/>
      <c r="E29" s="28"/>
    </row>
    <row r="30" spans="1:5" x14ac:dyDescent="0.2">
      <c r="A30" s="27"/>
      <c r="B30" s="28"/>
      <c r="C30" s="28"/>
      <c r="D30" s="28"/>
      <c r="E30" s="28"/>
    </row>
    <row r="31" spans="1:5" x14ac:dyDescent="0.2">
      <c r="A31" s="25" t="s">
        <v>75</v>
      </c>
      <c r="B31" s="258">
        <f>+SUM(B23:B29)</f>
        <v>81022.822444733945</v>
      </c>
      <c r="C31" s="258">
        <f>+SUM(C23:C29)</f>
        <v>87468.89206762785</v>
      </c>
      <c r="D31" s="258">
        <f>+SUM(D23:D29)</f>
        <v>0</v>
      </c>
      <c r="E31" s="258">
        <f>+SUM(E23:E29)</f>
        <v>0</v>
      </c>
    </row>
    <row r="32" spans="1:5" x14ac:dyDescent="0.2">
      <c r="A32" s="27"/>
      <c r="B32" s="30"/>
      <c r="C32" s="30"/>
      <c r="D32" s="30"/>
      <c r="E32" s="30"/>
    </row>
    <row r="33" spans="1:11" x14ac:dyDescent="0.2">
      <c r="A33" s="25" t="s">
        <v>76</v>
      </c>
      <c r="B33" s="28">
        <f>+B20+B31</f>
        <v>12191704.402444733</v>
      </c>
      <c r="C33" s="28">
        <f>+C20+C31</f>
        <v>87468.89206762785</v>
      </c>
      <c r="D33" s="28">
        <f>+D20+D31</f>
        <v>175587</v>
      </c>
      <c r="E33" s="28">
        <f>+E20+E31</f>
        <v>0</v>
      </c>
    </row>
    <row r="34" spans="1:11" x14ac:dyDescent="0.2">
      <c r="A34" s="25" t="s">
        <v>77</v>
      </c>
      <c r="B34" s="28">
        <f>+(B33+D33)*InfoInicial!$B$3</f>
        <v>2597131.194513394</v>
      </c>
      <c r="C34" s="28">
        <f>+(C33)*InfoInicial!$B$3</f>
        <v>18368.467334201847</v>
      </c>
      <c r="D34" s="28"/>
      <c r="E34" s="28"/>
    </row>
    <row r="35" spans="1:11" x14ac:dyDescent="0.2">
      <c r="A35" s="27"/>
      <c r="B35" s="30"/>
      <c r="C35" s="30"/>
      <c r="D35" s="30"/>
      <c r="E35" s="30"/>
    </row>
    <row r="36" spans="1:11" ht="13.5" thickBot="1" x14ac:dyDescent="0.25">
      <c r="A36" s="31" t="s">
        <v>78</v>
      </c>
      <c r="B36" s="256">
        <f>+B33+B34</f>
        <v>14788835.596958127</v>
      </c>
      <c r="C36" s="256">
        <f>+C33+C34</f>
        <v>105837.3594018297</v>
      </c>
      <c r="D36" s="256">
        <f>+D33+D34</f>
        <v>175587</v>
      </c>
      <c r="E36" s="32">
        <f>+E33+E34</f>
        <v>0</v>
      </c>
    </row>
    <row r="37" spans="1:11" ht="13.5" thickTop="1" x14ac:dyDescent="0.2"/>
    <row r="38" spans="1:11" ht="13.5" thickBot="1" x14ac:dyDescent="0.25"/>
    <row r="39" spans="1:11" ht="13.5" thickTop="1" x14ac:dyDescent="0.2">
      <c r="A39" s="33" t="s">
        <v>79</v>
      </c>
      <c r="B39" s="18" t="s">
        <v>80</v>
      </c>
      <c r="C39" s="18" t="s">
        <v>81</v>
      </c>
      <c r="D39" s="398" t="s">
        <v>82</v>
      </c>
      <c r="E39" s="398"/>
      <c r="F39" s="398"/>
      <c r="G39" s="34" t="s">
        <v>83</v>
      </c>
      <c r="I39" s="400" t="s">
        <v>450</v>
      </c>
      <c r="J39" s="400" t="s">
        <v>451</v>
      </c>
      <c r="K39" s="400" t="s">
        <v>452</v>
      </c>
    </row>
    <row r="40" spans="1:11" ht="13.5" thickBot="1" x14ac:dyDescent="0.25">
      <c r="A40" s="35"/>
      <c r="B40" s="21" t="s">
        <v>84</v>
      </c>
      <c r="C40" s="21"/>
      <c r="D40" s="21" t="s">
        <v>85</v>
      </c>
      <c r="E40" s="21" t="s">
        <v>86</v>
      </c>
      <c r="F40" s="21"/>
      <c r="G40" s="36"/>
      <c r="I40" s="401"/>
      <c r="J40" s="401"/>
      <c r="K40" s="401"/>
    </row>
    <row r="41" spans="1:11" ht="13.5" thickTop="1" x14ac:dyDescent="0.2">
      <c r="A41" s="37" t="s">
        <v>87</v>
      </c>
      <c r="B41" s="38"/>
      <c r="C41" s="38"/>
      <c r="D41" s="38"/>
      <c r="E41" s="38"/>
      <c r="F41" s="39"/>
      <c r="G41" s="40"/>
      <c r="I41" s="261"/>
      <c r="J41" s="261"/>
      <c r="K41" s="261"/>
    </row>
    <row r="42" spans="1:11" x14ac:dyDescent="0.2">
      <c r="A42" s="41"/>
      <c r="B42" s="42"/>
      <c r="C42" s="42"/>
      <c r="D42" s="42"/>
      <c r="E42" s="42"/>
      <c r="F42" s="43"/>
      <c r="G42" s="44"/>
      <c r="I42" s="261"/>
      <c r="J42" s="261"/>
      <c r="K42" s="261"/>
    </row>
    <row r="43" spans="1:11" x14ac:dyDescent="0.2">
      <c r="A43" s="27" t="s">
        <v>56</v>
      </c>
      <c r="B43" s="28">
        <f>+B7</f>
        <v>1973400</v>
      </c>
      <c r="C43" s="251">
        <v>0</v>
      </c>
      <c r="D43" s="28">
        <f>+$B43*$C43</f>
        <v>0</v>
      </c>
      <c r="E43" s="28">
        <f>+$B43*$C43</f>
        <v>0</v>
      </c>
      <c r="F43" s="28"/>
      <c r="G43" s="45">
        <f>+B43-D43*3-E43*2</f>
        <v>1973400</v>
      </c>
      <c r="I43" s="28">
        <f>0.8*D43</f>
        <v>0</v>
      </c>
      <c r="J43" s="262">
        <f>1-I43-K43</f>
        <v>0.9</v>
      </c>
      <c r="K43" s="262">
        <v>0.1</v>
      </c>
    </row>
    <row r="44" spans="1:11" x14ac:dyDescent="0.2">
      <c r="A44" s="27" t="s">
        <v>57</v>
      </c>
      <c r="B44" s="28">
        <f>+B8</f>
        <v>7893600</v>
      </c>
      <c r="C44" s="251">
        <f>1/InfoInicial!B8</f>
        <v>3.3333333333333333E-2</v>
      </c>
      <c r="D44" s="28">
        <f t="shared" ref="D44:E50" si="0">+$B44*$C44</f>
        <v>263120</v>
      </c>
      <c r="E44" s="28">
        <f t="shared" si="0"/>
        <v>263120</v>
      </c>
      <c r="F44" s="28"/>
      <c r="G44" s="45">
        <f>+B44-D44*3-E44*2</f>
        <v>6578000</v>
      </c>
      <c r="I44" s="28">
        <f>0.8*D44</f>
        <v>210496</v>
      </c>
      <c r="J44" s="262">
        <f>1-I44-K44</f>
        <v>-210495.1</v>
      </c>
      <c r="K44" s="262">
        <f>+K43</f>
        <v>0.1</v>
      </c>
    </row>
    <row r="45" spans="1:11" x14ac:dyDescent="0.2">
      <c r="A45" s="27" t="s">
        <v>58</v>
      </c>
      <c r="B45" s="28">
        <f>+B9</f>
        <v>630000</v>
      </c>
      <c r="C45" s="251">
        <f>1/InfoInicial!B9</f>
        <v>0.1</v>
      </c>
      <c r="D45" s="28">
        <f t="shared" si="0"/>
        <v>63000</v>
      </c>
      <c r="E45" s="28">
        <f t="shared" si="0"/>
        <v>63000</v>
      </c>
      <c r="F45" s="28"/>
      <c r="G45" s="45">
        <f>+B45-D45*3-E45*2</f>
        <v>315000</v>
      </c>
      <c r="I45" s="28">
        <f t="shared" ref="I45:I50" si="1">0.8*D45</f>
        <v>50400</v>
      </c>
      <c r="J45" s="262">
        <f>1-I45-K45</f>
        <v>-50399.1</v>
      </c>
      <c r="K45" s="262">
        <f>+K43</f>
        <v>0.1</v>
      </c>
    </row>
    <row r="46" spans="1:11" x14ac:dyDescent="0.2">
      <c r="A46" s="29" t="s">
        <v>59</v>
      </c>
      <c r="B46" s="28">
        <f>D14+B13+B14+Datos!D9</f>
        <v>606310</v>
      </c>
      <c r="C46" s="251">
        <f>1/InfoInicial!B10</f>
        <v>0.1</v>
      </c>
      <c r="D46" s="28">
        <f t="shared" si="0"/>
        <v>60631</v>
      </c>
      <c r="E46" s="28">
        <f t="shared" si="0"/>
        <v>60631</v>
      </c>
      <c r="F46" s="28"/>
      <c r="G46" s="45">
        <f t="shared" ref="G46:G50" si="2">+B46-D46*3-E46*2</f>
        <v>303155</v>
      </c>
      <c r="I46" s="28">
        <f>D46</f>
        <v>60631</v>
      </c>
      <c r="J46" s="262">
        <v>0</v>
      </c>
      <c r="K46" s="262">
        <v>0</v>
      </c>
    </row>
    <row r="47" spans="1:11" x14ac:dyDescent="0.2">
      <c r="A47" s="29" t="s">
        <v>64</v>
      </c>
      <c r="B47" s="28">
        <f>+B15</f>
        <v>11342</v>
      </c>
      <c r="C47" s="251">
        <f>1/InfoInicial!B11</f>
        <v>0.2</v>
      </c>
      <c r="D47" s="28">
        <f t="shared" si="0"/>
        <v>2268.4</v>
      </c>
      <c r="E47" s="28">
        <f t="shared" si="0"/>
        <v>2268.4</v>
      </c>
      <c r="F47" s="28"/>
      <c r="G47" s="45">
        <f t="shared" si="2"/>
        <v>0</v>
      </c>
      <c r="I47" s="28">
        <f t="shared" si="1"/>
        <v>1814.7200000000003</v>
      </c>
      <c r="J47" s="262">
        <v>0</v>
      </c>
      <c r="K47" s="263">
        <f>1-I47</f>
        <v>-1813.7200000000003</v>
      </c>
    </row>
    <row r="48" spans="1:11" x14ac:dyDescent="0.2">
      <c r="A48" s="29" t="s">
        <v>65</v>
      </c>
      <c r="B48" s="28">
        <f>B16</f>
        <v>356500</v>
      </c>
      <c r="C48" s="251">
        <f>1/InfoInicial!B12</f>
        <v>0.2</v>
      </c>
      <c r="D48" s="28">
        <f t="shared" si="0"/>
        <v>71300</v>
      </c>
      <c r="E48" s="28">
        <f t="shared" si="0"/>
        <v>71300</v>
      </c>
      <c r="F48" s="28"/>
      <c r="G48" s="45">
        <f t="shared" si="2"/>
        <v>0</v>
      </c>
      <c r="I48" s="28">
        <f t="shared" si="1"/>
        <v>57040</v>
      </c>
      <c r="J48" s="262">
        <f>1-I48-K48</f>
        <v>-57039.485630692776</v>
      </c>
      <c r="K48" s="262">
        <f>'[1]Apertura Económica'!G103</f>
        <v>0.48563069277273629</v>
      </c>
    </row>
    <row r="49" spans="1:11" x14ac:dyDescent="0.2">
      <c r="A49" s="29" t="s">
        <v>21</v>
      </c>
      <c r="B49" s="28">
        <f>+B18+D18</f>
        <v>803774.58000000007</v>
      </c>
      <c r="C49" s="251">
        <f>1/InfoInicial!B14</f>
        <v>0.2</v>
      </c>
      <c r="D49" s="28">
        <f t="shared" si="0"/>
        <v>160754.91600000003</v>
      </c>
      <c r="E49" s="28">
        <f t="shared" si="0"/>
        <v>160754.91600000003</v>
      </c>
      <c r="F49" s="28"/>
      <c r="G49" s="45">
        <f>+B49-(D49*3)-(E49*2)</f>
        <v>0</v>
      </c>
      <c r="I49" s="28">
        <f t="shared" si="1"/>
        <v>128603.93280000002</v>
      </c>
      <c r="J49" s="262">
        <f>1-I49-K49</f>
        <v>-128030.35352548196</v>
      </c>
      <c r="K49" s="262">
        <f>+SUMPRODUCT(C43:C48,K43:K48)/SUM(C43:C48)</f>
        <v>-572.579274518072</v>
      </c>
    </row>
    <row r="50" spans="1:11" x14ac:dyDescent="0.2">
      <c r="A50" s="29" t="s">
        <v>88</v>
      </c>
      <c r="B50" s="28">
        <f>+Datos!F9</f>
        <v>11342</v>
      </c>
      <c r="C50" s="251">
        <f>1/InfoInicial!B13</f>
        <v>0.33333333333333331</v>
      </c>
      <c r="D50" s="28">
        <f t="shared" si="0"/>
        <v>3780.6666666666665</v>
      </c>
      <c r="E50" s="28">
        <v>0</v>
      </c>
      <c r="F50" s="28"/>
      <c r="G50" s="45">
        <f t="shared" si="2"/>
        <v>0</v>
      </c>
      <c r="I50" s="28">
        <f t="shared" si="1"/>
        <v>3024.5333333333333</v>
      </c>
      <c r="J50" s="262">
        <v>0</v>
      </c>
      <c r="K50" s="262">
        <v>0</v>
      </c>
    </row>
    <row r="51" spans="1:11" x14ac:dyDescent="0.2">
      <c r="A51" s="46" t="s">
        <v>89</v>
      </c>
      <c r="B51" s="260">
        <f>+SUM(B43:B50)</f>
        <v>12286268.58</v>
      </c>
      <c r="C51" s="259"/>
      <c r="D51" s="258">
        <f>+SUM(D43:D50)</f>
        <v>624854.98266666674</v>
      </c>
      <c r="E51" s="258">
        <f>+SUM(E43:E50)</f>
        <v>621074.31600000011</v>
      </c>
      <c r="F51" s="260"/>
      <c r="G51" s="260">
        <f>+SUM(G43:G50)</f>
        <v>9169555</v>
      </c>
      <c r="I51" s="262"/>
      <c r="J51" s="262"/>
      <c r="K51" s="262"/>
    </row>
    <row r="52" spans="1:11" x14ac:dyDescent="0.2">
      <c r="A52" s="25"/>
      <c r="B52" s="47"/>
      <c r="C52" s="252"/>
      <c r="D52" s="48"/>
      <c r="E52" s="48"/>
      <c r="F52" s="48"/>
      <c r="G52" s="49"/>
      <c r="I52" s="262"/>
      <c r="J52" s="262"/>
      <c r="K52" s="262"/>
    </row>
    <row r="53" spans="1:11" x14ac:dyDescent="0.2">
      <c r="A53" s="46" t="s">
        <v>90</v>
      </c>
      <c r="B53" s="258">
        <f>+B31+C31</f>
        <v>168491.7145123618</v>
      </c>
      <c r="C53" s="259">
        <f>1/InfoInicial!B14</f>
        <v>0.2</v>
      </c>
      <c r="D53" s="258">
        <f>+B53*C53</f>
        <v>33698.342902472359</v>
      </c>
      <c r="E53" s="258">
        <f>+B53*C53</f>
        <v>33698.342902472359</v>
      </c>
      <c r="F53" s="258"/>
      <c r="G53" s="45">
        <f>+B53-(D53*3)-(E53*2)</f>
        <v>0</v>
      </c>
      <c r="I53" s="262">
        <f>+I43</f>
        <v>0</v>
      </c>
      <c r="J53" s="263">
        <f>1-I53-K53</f>
        <v>0.9</v>
      </c>
      <c r="K53" s="262">
        <f>+K43</f>
        <v>0.1</v>
      </c>
    </row>
    <row r="54" spans="1:11" x14ac:dyDescent="0.2">
      <c r="A54" s="46"/>
      <c r="B54" s="28"/>
      <c r="C54" s="251"/>
      <c r="D54" s="28"/>
      <c r="E54" s="28"/>
      <c r="F54" s="28"/>
      <c r="G54" s="45"/>
      <c r="I54" s="262"/>
      <c r="J54" s="262"/>
      <c r="K54" s="262"/>
    </row>
    <row r="55" spans="1:11" x14ac:dyDescent="0.2">
      <c r="A55" s="25"/>
      <c r="B55" s="26"/>
      <c r="C55" s="253"/>
      <c r="D55" s="50"/>
      <c r="E55" s="51"/>
      <c r="F55" s="51"/>
      <c r="G55" s="52"/>
      <c r="H55" s="53"/>
      <c r="I55" s="262"/>
      <c r="J55" s="262"/>
      <c r="K55" s="262"/>
    </row>
    <row r="56" spans="1:11" ht="13.5" thickBot="1" x14ac:dyDescent="0.25">
      <c r="A56" s="31" t="s">
        <v>91</v>
      </c>
      <c r="B56" s="256">
        <f>+B51+B53</f>
        <v>12454760.294512361</v>
      </c>
      <c r="C56" s="257"/>
      <c r="D56" s="256">
        <f>+D51+D53</f>
        <v>658553.3255691391</v>
      </c>
      <c r="E56" s="256">
        <f>+E51+E53</f>
        <v>654772.65890247247</v>
      </c>
      <c r="F56" s="256"/>
      <c r="G56" s="256">
        <f>+G51+G53</f>
        <v>9169555</v>
      </c>
      <c r="H56" s="55"/>
      <c r="I56" s="264"/>
      <c r="J56" s="264"/>
      <c r="K56" s="264"/>
    </row>
    <row r="57" spans="1:11" ht="13.5" thickTop="1" x14ac:dyDescent="0.2"/>
  </sheetData>
  <sheetProtection selectLockedCells="1" selectUnlockedCells="1"/>
  <mergeCells count="6">
    <mergeCell ref="K39:K40"/>
    <mergeCell ref="B3:C3"/>
    <mergeCell ref="D3:E3"/>
    <mergeCell ref="D39:F39"/>
    <mergeCell ref="I39:I40"/>
    <mergeCell ref="J39:J40"/>
  </mergeCells>
  <pageMargins left="0.42986111111111114" right="0.75" top="0.55972222222222223" bottom="1.429861111111111" header="0.51180555555555551" footer="0.51180555555555551"/>
  <pageSetup paperSize="9" firstPageNumber="0" fitToHeight="3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G180"/>
  <sheetViews>
    <sheetView tabSelected="1" topLeftCell="A137" zoomScale="90" zoomScaleNormal="90" workbookViewId="0">
      <selection activeCell="T142" sqref="T142"/>
    </sheetView>
  </sheetViews>
  <sheetFormatPr baseColWidth="10" defaultRowHeight="12.75" x14ac:dyDescent="0.2"/>
  <cols>
    <col min="1" max="1" width="40.85546875" style="16" customWidth="1"/>
    <col min="2" max="2" width="37" style="16" bestFit="1" customWidth="1"/>
    <col min="3" max="6" width="16" style="16" bestFit="1" customWidth="1"/>
    <col min="7" max="7" width="17.42578125" style="16" customWidth="1"/>
    <col min="8" max="16384" width="11.42578125" style="16"/>
  </cols>
  <sheetData>
    <row r="3" spans="1:6" x14ac:dyDescent="0.2">
      <c r="A3" s="1" t="s">
        <v>0</v>
      </c>
      <c r="B3"/>
      <c r="C3"/>
      <c r="D3"/>
      <c r="E3" s="2">
        <f>InfoInicial!E1</f>
        <v>8</v>
      </c>
    </row>
    <row r="4" spans="1:6" ht="15.75" x14ac:dyDescent="0.25">
      <c r="A4" s="56" t="s">
        <v>92</v>
      </c>
      <c r="B4" s="57"/>
      <c r="C4" s="57"/>
      <c r="D4" s="57"/>
      <c r="E4" s="57"/>
      <c r="F4" s="58"/>
    </row>
    <row r="5" spans="1:6" x14ac:dyDescent="0.2">
      <c r="A5" s="59"/>
      <c r="B5" s="60" t="s">
        <v>93</v>
      </c>
      <c r="C5" s="60"/>
      <c r="D5" s="60"/>
      <c r="E5" s="60"/>
      <c r="F5" s="61"/>
    </row>
    <row r="6" spans="1:6" x14ac:dyDescent="0.2">
      <c r="A6" s="59" t="s">
        <v>94</v>
      </c>
      <c r="B6" s="21" t="s">
        <v>54</v>
      </c>
      <c r="C6" s="21" t="s">
        <v>95</v>
      </c>
      <c r="D6" s="21" t="s">
        <v>96</v>
      </c>
      <c r="E6" s="21" t="s">
        <v>97</v>
      </c>
      <c r="F6" s="22" t="s">
        <v>98</v>
      </c>
    </row>
    <row r="7" spans="1:6" x14ac:dyDescent="0.2">
      <c r="A7" s="23" t="s">
        <v>99</v>
      </c>
      <c r="B7" s="62">
        <f>+Datos!I37</f>
        <v>1442121.7536000002</v>
      </c>
      <c r="C7" s="62">
        <f>+Datos!$I$36</f>
        <v>1576105.3440000003</v>
      </c>
      <c r="D7" s="62">
        <f>+Datos!$I$36</f>
        <v>1576105.3440000003</v>
      </c>
      <c r="E7" s="62">
        <f>+Datos!$I$36</f>
        <v>1576105.3440000003</v>
      </c>
      <c r="F7" s="62">
        <f>+Datos!$I$36</f>
        <v>1576105.3440000003</v>
      </c>
    </row>
    <row r="8" spans="1:6" x14ac:dyDescent="0.2">
      <c r="A8" s="27" t="s">
        <v>100</v>
      </c>
      <c r="B8" s="64">
        <f>Datos!B47*6*0.9</f>
        <v>94500</v>
      </c>
      <c r="C8" s="64">
        <f>Datos!$B$47*6</f>
        <v>105000</v>
      </c>
      <c r="D8" s="64">
        <f>Datos!$B$47*6</f>
        <v>105000</v>
      </c>
      <c r="E8" s="64">
        <f>Datos!$B$47*6</f>
        <v>105000</v>
      </c>
      <c r="F8" s="64">
        <f>Datos!$B$47*6</f>
        <v>105000</v>
      </c>
    </row>
    <row r="9" spans="1:6" x14ac:dyDescent="0.2">
      <c r="A9" s="27" t="s">
        <v>101</v>
      </c>
      <c r="B9" s="64"/>
      <c r="C9" s="64"/>
      <c r="D9" s="64"/>
      <c r="E9" s="64"/>
      <c r="F9" s="64"/>
    </row>
    <row r="10" spans="1:6" x14ac:dyDescent="0.2">
      <c r="A10" s="27" t="s">
        <v>102</v>
      </c>
      <c r="B10" s="64">
        <f>+'E-Inv AF y Am'!$D$56*0.9</f>
        <v>592697.99301222526</v>
      </c>
      <c r="C10" s="64">
        <f>+'E-Inv AF y Am'!$D$56*0.9</f>
        <v>592697.99301222526</v>
      </c>
      <c r="D10" s="64">
        <f>+'E-Inv AF y Am'!$D$56*0.9</f>
        <v>592697.99301222526</v>
      </c>
      <c r="E10" s="64">
        <f>+'E-Inv AF y Am'!$E$56*0.9</f>
        <v>589295.39301222528</v>
      </c>
      <c r="F10" s="64">
        <f>+'E-Inv AF y Am'!$E$56*0.9</f>
        <v>589295.39301222528</v>
      </c>
    </row>
    <row r="11" spans="1:6" x14ac:dyDescent="0.2">
      <c r="A11" s="27" t="s">
        <v>103</v>
      </c>
      <c r="B11" s="64">
        <f>+Datos!$B$47*0.9</f>
        <v>15750</v>
      </c>
      <c r="C11" s="64">
        <f>+Datos!$B$47</f>
        <v>17500</v>
      </c>
      <c r="D11" s="64">
        <f>+Datos!$B$47</f>
        <v>17500</v>
      </c>
      <c r="E11" s="64">
        <f>+Datos!$B$47</f>
        <v>17500</v>
      </c>
      <c r="F11" s="64">
        <f>+Datos!$B$47</f>
        <v>17500</v>
      </c>
    </row>
    <row r="12" spans="1:6" x14ac:dyDescent="0.2">
      <c r="A12" s="27" t="s">
        <v>104</v>
      </c>
      <c r="B12" s="64">
        <f>+'E-Inv AF y Am'!$B$20*0.02*0.9</f>
        <v>217992.26843999999</v>
      </c>
      <c r="C12" s="64">
        <f>+'E-Inv AF y Am'!$B$20*0.02</f>
        <v>242213.63159999999</v>
      </c>
      <c r="D12" s="64">
        <f>+'E-Inv AF y Am'!$B$20*0.02</f>
        <v>242213.63159999999</v>
      </c>
      <c r="E12" s="64">
        <f>+'E-Inv AF y Am'!$B$20*0.02</f>
        <v>242213.63159999999</v>
      </c>
      <c r="F12" s="64">
        <f>+'E-Inv AF y Am'!$B$20*0.02</f>
        <v>242213.63159999999</v>
      </c>
    </row>
    <row r="13" spans="1:6" x14ac:dyDescent="0.2">
      <c r="A13" s="27" t="s">
        <v>105</v>
      </c>
      <c r="B13" s="64">
        <f>+Datos!$B$63*0.9*0.9</f>
        <v>680400</v>
      </c>
      <c r="C13" s="64">
        <f>+Datos!$B$63*0.9</f>
        <v>756000</v>
      </c>
      <c r="D13" s="64">
        <f>+Datos!$B$63*0.9</f>
        <v>756000</v>
      </c>
      <c r="E13" s="64">
        <f>+Datos!$B$63*0.9</f>
        <v>756000</v>
      </c>
      <c r="F13" s="64">
        <f>+Datos!$B$63*0.9</f>
        <v>756000</v>
      </c>
    </row>
    <row r="14" spans="1:6" x14ac:dyDescent="0.2">
      <c r="A14" s="27" t="s">
        <v>106</v>
      </c>
      <c r="B14" s="64">
        <f>+Datos!$B$64*0.8</f>
        <v>22800</v>
      </c>
      <c r="C14" s="64">
        <f>+Datos!$B$64</f>
        <v>28500</v>
      </c>
      <c r="D14" s="64">
        <f>+Datos!$B$64</f>
        <v>28500</v>
      </c>
      <c r="E14" s="64">
        <f>+Datos!$B$64</f>
        <v>28500</v>
      </c>
      <c r="F14" s="64">
        <f>+Datos!$B$64</f>
        <v>28500</v>
      </c>
    </row>
    <row r="15" spans="1:6" x14ac:dyDescent="0.2">
      <c r="A15" s="27" t="s">
        <v>107</v>
      </c>
      <c r="B15" s="64">
        <f>+('E-Inv AF y Am'!$B$7+'E-Inv AF y Am'!$B$8)*0.008*0.9</f>
        <v>71042.400000000009</v>
      </c>
      <c r="C15" s="64">
        <f>+('E-Inv AF y Am'!$B$7+'E-Inv AF y Am'!$B$8)*0.008*0.9</f>
        <v>71042.400000000009</v>
      </c>
      <c r="D15" s="64">
        <f>+('E-Inv AF y Am'!$B$7+'E-Inv AF y Am'!$B$8)*0.008*0.9</f>
        <v>71042.400000000009</v>
      </c>
      <c r="E15" s="64">
        <f>+('E-Inv AF y Am'!$B$7+'E-Inv AF y Am'!$B$8)*0.008*0.9</f>
        <v>71042.400000000009</v>
      </c>
      <c r="F15" s="64">
        <f>+('E-Inv AF y Am'!$B$7+'E-Inv AF y Am'!$B$8)*0.008*0.9</f>
        <v>71042.400000000009</v>
      </c>
    </row>
    <row r="16" spans="1:6" x14ac:dyDescent="0.2">
      <c r="A16" s="27" t="s">
        <v>21</v>
      </c>
      <c r="B16" s="64">
        <f>+SUM(B7:B15)*InfoInicial!$B$15</f>
        <v>219611.3090536558</v>
      </c>
      <c r="C16" s="64">
        <f>+SUM(C7:C15)*InfoInicial!$B$15</f>
        <v>237234.15580285582</v>
      </c>
      <c r="D16" s="64">
        <f>+SUM(D7:D15)*InfoInicial!$B$15</f>
        <v>237234.15580285582</v>
      </c>
      <c r="E16" s="64">
        <f>+SUM(E7:E15)*InfoInicial!$B$15</f>
        <v>236995.97380285582</v>
      </c>
      <c r="F16" s="64">
        <f>+SUM(F7:F15)*InfoInicial!$B$15</f>
        <v>236995.97380285582</v>
      </c>
    </row>
    <row r="17" spans="1:7" x14ac:dyDescent="0.2">
      <c r="A17" s="25" t="s">
        <v>108</v>
      </c>
      <c r="B17" s="94">
        <f>+SUM(B7:B16)</f>
        <v>3356915.7241058811</v>
      </c>
      <c r="C17" s="94">
        <f>+SUM(C7:C16)</f>
        <v>3626293.5244150814</v>
      </c>
      <c r="D17" s="94">
        <f>+SUM(D7:D16)</f>
        <v>3626293.5244150814</v>
      </c>
      <c r="E17" s="94">
        <f>+SUM(E7:E16)</f>
        <v>3622652.7424150812</v>
      </c>
      <c r="F17" s="94">
        <f>+SUM(F7:F16)</f>
        <v>3622652.7424150812</v>
      </c>
    </row>
    <row r="18" spans="1:7" x14ac:dyDescent="0.2">
      <c r="A18" s="66"/>
      <c r="B18" s="67"/>
      <c r="C18" s="67"/>
      <c r="D18" s="67"/>
      <c r="E18" s="67"/>
      <c r="F18" s="68"/>
    </row>
    <row r="19" spans="1:7" x14ac:dyDescent="0.2">
      <c r="A19" s="69" t="s">
        <v>109</v>
      </c>
      <c r="B19" s="265">
        <f>+(B10+B11+B15+B16)/B17</f>
        <v>0.26783564913753027</v>
      </c>
      <c r="C19" s="265">
        <f>+(C10+C11+C15+C16)/C17</f>
        <v>0.25328190964994496</v>
      </c>
      <c r="D19" s="265">
        <f>+(D10+D11+D15+D16)/D17</f>
        <v>0.25328190964994496</v>
      </c>
      <c r="E19" s="265">
        <f>+(E10+E11+E15+E16)/E17</f>
        <v>0.25253145467241145</v>
      </c>
      <c r="F19" s="265">
        <f>+(F10+F11+F15+F16)/F17</f>
        <v>0.25253145467241145</v>
      </c>
    </row>
    <row r="20" spans="1:7" x14ac:dyDescent="0.2">
      <c r="A20" s="35" t="s">
        <v>110</v>
      </c>
      <c r="B20" s="266">
        <f>+(B7+B8+B13+B12+B14)/B17</f>
        <v>0.73216435086246978</v>
      </c>
      <c r="C20" s="266">
        <f>+(C7+C8+C13+C12+C14)/C17</f>
        <v>0.7467180903500551</v>
      </c>
      <c r="D20" s="266">
        <f>+(D7+D8+D13+D12+D14)/D17</f>
        <v>0.7467180903500551</v>
      </c>
      <c r="E20" s="266">
        <f>+(E7+E8+E13+E12+E14)/E17</f>
        <v>0.74746854532758866</v>
      </c>
      <c r="F20" s="266">
        <f>+(F7+F8+F13+F12+F14)/F17</f>
        <v>0.74746854532758866</v>
      </c>
    </row>
    <row r="22" spans="1:7" x14ac:dyDescent="0.2">
      <c r="A22" s="336"/>
      <c r="B22" s="337" t="s">
        <v>111</v>
      </c>
      <c r="C22" s="337"/>
      <c r="D22" s="337"/>
      <c r="E22" s="337"/>
      <c r="F22" s="337"/>
      <c r="G22" s="275"/>
    </row>
    <row r="23" spans="1:7" x14ac:dyDescent="0.2">
      <c r="A23" s="338"/>
      <c r="B23" s="339" t="s">
        <v>112</v>
      </c>
      <c r="C23" s="339"/>
      <c r="D23" s="339"/>
      <c r="E23" s="339"/>
      <c r="F23" s="339"/>
      <c r="G23" s="276" t="s">
        <v>113</v>
      </c>
    </row>
    <row r="24" spans="1:7" x14ac:dyDescent="0.2">
      <c r="A24" s="338" t="s">
        <v>94</v>
      </c>
      <c r="B24" s="340" t="s">
        <v>54</v>
      </c>
      <c r="C24" s="340" t="s">
        <v>95</v>
      </c>
      <c r="D24" s="340" t="s">
        <v>96</v>
      </c>
      <c r="E24" s="340" t="s">
        <v>97</v>
      </c>
      <c r="F24" s="340" t="s">
        <v>98</v>
      </c>
      <c r="G24" s="277" t="s">
        <v>54</v>
      </c>
    </row>
    <row r="25" spans="1:7" x14ac:dyDescent="0.2">
      <c r="A25" s="341" t="s">
        <v>99</v>
      </c>
      <c r="B25" s="342">
        <f>+Datos!$I$38</f>
        <v>9006.4656000000014</v>
      </c>
      <c r="C25" s="342">
        <f>+Datos!$I$38</f>
        <v>9006.4656000000014</v>
      </c>
      <c r="D25" s="342">
        <f>+Datos!$I$38</f>
        <v>9006.4656000000014</v>
      </c>
      <c r="E25" s="342">
        <f>+Datos!$I$38</f>
        <v>9006.4656000000014</v>
      </c>
      <c r="F25" s="342">
        <f>+Datos!$I$38</f>
        <v>9006.4656000000014</v>
      </c>
      <c r="G25" s="278">
        <f>+Datos!J138*Datos!J136</f>
        <v>71799.452248205431</v>
      </c>
    </row>
    <row r="26" spans="1:7" x14ac:dyDescent="0.2">
      <c r="A26" s="343" t="s">
        <v>100</v>
      </c>
      <c r="B26" s="344">
        <f>(Datos!G93)</f>
        <v>270.01970083910982</v>
      </c>
      <c r="C26" s="344">
        <f>(Datos!$G$94)</f>
        <v>344.89179667840972</v>
      </c>
      <c r="D26" s="344">
        <f>(Datos!$G$94)</f>
        <v>344.89179667840972</v>
      </c>
      <c r="E26" s="344">
        <f>(Datos!$G$94)</f>
        <v>344.89179667840972</v>
      </c>
      <c r="F26" s="344">
        <f>(Datos!$G$94)</f>
        <v>344.89179667840972</v>
      </c>
      <c r="G26" s="274">
        <f>+Datos!J140</f>
        <v>4704.9066561250802</v>
      </c>
    </row>
    <row r="27" spans="1:7" x14ac:dyDescent="0.2">
      <c r="A27" s="343" t="s">
        <v>101</v>
      </c>
      <c r="B27" s="345"/>
      <c r="C27" s="345"/>
      <c r="D27" s="345"/>
      <c r="E27" s="345"/>
      <c r="F27" s="345"/>
      <c r="G27" s="279"/>
    </row>
    <row r="28" spans="1:7" x14ac:dyDescent="0.2">
      <c r="A28" s="343" t="s">
        <v>102</v>
      </c>
      <c r="B28" s="344">
        <f>(Datos!$F$100)</f>
        <v>1946.8254828349893</v>
      </c>
      <c r="C28" s="344">
        <f>(Datos!$G$100)</f>
        <v>1693.5463995883797</v>
      </c>
      <c r="D28" s="344">
        <f>(Datos!$G$100)</f>
        <v>1693.5463995883797</v>
      </c>
      <c r="E28" s="344">
        <f>(Datos!$H$100)</f>
        <v>1683.8239759473729</v>
      </c>
      <c r="F28" s="344">
        <f>(Datos!$H$100)</f>
        <v>1683.8239759473729</v>
      </c>
      <c r="G28" s="274"/>
    </row>
    <row r="29" spans="1:7" x14ac:dyDescent="0.2">
      <c r="A29" s="343" t="s">
        <v>103</v>
      </c>
      <c r="B29" s="344">
        <f>(Datos!G105)</f>
        <v>44.71162210752189</v>
      </c>
      <c r="C29" s="344">
        <f>(Datos!$G$106)</f>
        <v>45.45635447068188</v>
      </c>
      <c r="D29" s="344">
        <f>(Datos!$G$106)</f>
        <v>45.45635447068188</v>
      </c>
      <c r="E29" s="344">
        <f>(Datos!$G$106)</f>
        <v>45.45635447068188</v>
      </c>
      <c r="F29" s="344">
        <f>(Datos!$G$106)</f>
        <v>45.45635447068188</v>
      </c>
      <c r="G29" s="274"/>
    </row>
    <row r="30" spans="1:7" x14ac:dyDescent="0.2">
      <c r="A30" s="343" t="s">
        <v>104</v>
      </c>
      <c r="B30" s="344">
        <f>(Datos!G113)</f>
        <v>716.03566785022645</v>
      </c>
      <c r="C30" s="344">
        <f>(Datos!$G$114)</f>
        <v>692.08944279139007</v>
      </c>
      <c r="D30" s="344">
        <f>(Datos!$G$114)</f>
        <v>692.08944279139007</v>
      </c>
      <c r="E30" s="344">
        <f>(Datos!$G$114)</f>
        <v>692.08944279139007</v>
      </c>
      <c r="F30" s="344">
        <f>(Datos!$G$114)</f>
        <v>692.08944279139007</v>
      </c>
      <c r="G30" s="274">
        <f>+Datos!J142</f>
        <v>10853.262166848266</v>
      </c>
    </row>
    <row r="31" spans="1:7" x14ac:dyDescent="0.2">
      <c r="A31" s="343" t="s">
        <v>114</v>
      </c>
      <c r="B31" s="344">
        <f>(Datos!F122)</f>
        <v>2234.8988424760946</v>
      </c>
      <c r="C31" s="344">
        <f>(Datos!$F$123)</f>
        <v>2160.1576067128785</v>
      </c>
      <c r="D31" s="344">
        <f>(Datos!$F$123)</f>
        <v>2160.1576067128785</v>
      </c>
      <c r="E31" s="344">
        <f>(Datos!$F$123)</f>
        <v>2160.1576067128785</v>
      </c>
      <c r="F31" s="344">
        <f>(Datos!$F$123)</f>
        <v>2160.1576067128785</v>
      </c>
      <c r="G31" s="274">
        <f>+Datos!J144</f>
        <v>111.26974010298427</v>
      </c>
    </row>
    <row r="32" spans="1:7" x14ac:dyDescent="0.2">
      <c r="A32" s="343" t="s">
        <v>115</v>
      </c>
      <c r="B32" s="344">
        <f>(Datos!F130)</f>
        <v>74.89079013588325</v>
      </c>
      <c r="C32" s="344">
        <f>(Datos!$F$131)</f>
        <v>81.434512951477572</v>
      </c>
      <c r="D32" s="344">
        <f>(Datos!$F$131)</f>
        <v>81.434512951477572</v>
      </c>
      <c r="E32" s="344">
        <f>(Datos!$F$131)</f>
        <v>81.434512951477572</v>
      </c>
      <c r="F32" s="344">
        <f>(Datos!$F$131)</f>
        <v>81.434512951477572</v>
      </c>
      <c r="G32" s="274">
        <f>+Datos!J145</f>
        <v>1.2563460851515392E-3</v>
      </c>
    </row>
    <row r="33" spans="1:7" x14ac:dyDescent="0.2">
      <c r="A33" s="343" t="s">
        <v>116</v>
      </c>
      <c r="B33" s="344">
        <f>(Datos!F138)</f>
        <v>233.35181882234531</v>
      </c>
      <c r="C33" s="344">
        <f>(Datos!$F$139)</f>
        <v>202.99309624224742</v>
      </c>
      <c r="D33" s="344">
        <f>(Datos!$F$139)</f>
        <v>202.99309624224742</v>
      </c>
      <c r="E33" s="344">
        <f>(Datos!$F$139)</f>
        <v>202.99309624224742</v>
      </c>
      <c r="F33" s="344">
        <f>(Datos!$F$139)</f>
        <v>202.99309624224742</v>
      </c>
      <c r="G33" s="274"/>
    </row>
    <row r="34" spans="1:7" x14ac:dyDescent="0.2">
      <c r="A34" s="343" t="s">
        <v>117</v>
      </c>
      <c r="B34" s="344">
        <f>+SUM(B25:B33)*InfoInicial!$B$15</f>
        <v>1016.9039667546321</v>
      </c>
      <c r="C34" s="344">
        <f>+SUM(C25:C33)*InfoInicial!$B$15</f>
        <v>995.89243666048276</v>
      </c>
      <c r="D34" s="344">
        <f>+SUM(D25:D33)*InfoInicial!$B$15</f>
        <v>995.89243666048276</v>
      </c>
      <c r="E34" s="344">
        <f>+SUM(E25:E33)*InfoInicial!$B$15</f>
        <v>995.21186700561225</v>
      </c>
      <c r="F34" s="344">
        <f>+SUM(F25:F33)*InfoInicial!$B$15</f>
        <v>995.21186700561225</v>
      </c>
      <c r="G34" s="274"/>
    </row>
    <row r="35" spans="1:7" x14ac:dyDescent="0.2">
      <c r="A35" s="346" t="s">
        <v>118</v>
      </c>
      <c r="B35" s="347">
        <f t="shared" ref="B35:F35" si="0">+SUM(B25:B34)</f>
        <v>15544.103491820802</v>
      </c>
      <c r="C35" s="347">
        <f t="shared" si="0"/>
        <v>15222.927246095949</v>
      </c>
      <c r="D35" s="347">
        <f t="shared" si="0"/>
        <v>15222.927246095949</v>
      </c>
      <c r="E35" s="347">
        <f t="shared" si="0"/>
        <v>15212.524252800071</v>
      </c>
      <c r="F35" s="347">
        <f t="shared" si="0"/>
        <v>15212.524252800071</v>
      </c>
      <c r="G35" s="280">
        <f>+SUM(G25:G34)</f>
        <v>87468.89206762785</v>
      </c>
    </row>
    <row r="36" spans="1:7" x14ac:dyDescent="0.2">
      <c r="A36" s="74"/>
      <c r="B36" s="75"/>
      <c r="C36" s="75"/>
      <c r="D36" s="75"/>
      <c r="E36" s="75"/>
      <c r="F36" s="75"/>
      <c r="G36" s="75"/>
    </row>
    <row r="37" spans="1:7" x14ac:dyDescent="0.2">
      <c r="A37" s="37"/>
      <c r="B37" s="76" t="s">
        <v>119</v>
      </c>
      <c r="C37" s="76"/>
      <c r="D37" s="76"/>
      <c r="E37" s="76"/>
      <c r="F37" s="77"/>
    </row>
    <row r="38" spans="1:7" x14ac:dyDescent="0.2">
      <c r="A38" s="35"/>
      <c r="B38" s="73" t="s">
        <v>54</v>
      </c>
      <c r="C38" s="73" t="s">
        <v>95</v>
      </c>
      <c r="D38" s="73" t="s">
        <v>96</v>
      </c>
      <c r="E38" s="73" t="s">
        <v>97</v>
      </c>
      <c r="F38" s="22" t="s">
        <v>98</v>
      </c>
      <c r="G38" s="75"/>
    </row>
    <row r="39" spans="1:7" x14ac:dyDescent="0.2">
      <c r="A39" s="41" t="s">
        <v>108</v>
      </c>
      <c r="B39" s="62">
        <f>+B17</f>
        <v>3356915.7241058811</v>
      </c>
      <c r="C39" s="62">
        <f>+C17</f>
        <v>3626293.5244150814</v>
      </c>
      <c r="D39" s="62">
        <f>+D17</f>
        <v>3626293.5244150814</v>
      </c>
      <c r="E39" s="62">
        <f>+E17</f>
        <v>3622652.7424150812</v>
      </c>
      <c r="F39" s="62">
        <f>+F17</f>
        <v>3622652.7424150812</v>
      </c>
      <c r="G39" s="75"/>
    </row>
    <row r="40" spans="1:7" x14ac:dyDescent="0.2">
      <c r="A40" s="27" t="s">
        <v>120</v>
      </c>
      <c r="B40" s="64"/>
      <c r="C40" s="64"/>
      <c r="D40" s="64"/>
      <c r="E40" s="64"/>
      <c r="F40" s="45"/>
      <c r="G40" s="75"/>
    </row>
    <row r="41" spans="1:7" x14ac:dyDescent="0.2">
      <c r="A41" s="27" t="s">
        <v>121</v>
      </c>
      <c r="B41" s="64">
        <f>+G35</f>
        <v>87468.89206762785</v>
      </c>
      <c r="C41" s="64"/>
      <c r="D41" s="64"/>
      <c r="E41" s="64"/>
      <c r="F41" s="45"/>
      <c r="G41" s="75"/>
    </row>
    <row r="42" spans="1:7" x14ac:dyDescent="0.2">
      <c r="A42" s="27" t="s">
        <v>122</v>
      </c>
      <c r="B42" s="64">
        <f>+B35</f>
        <v>15544.103491820802</v>
      </c>
      <c r="C42" s="64">
        <f>+C35-B35</f>
        <v>-321.17624572485329</v>
      </c>
      <c r="D42" s="64">
        <f>+D35-C35</f>
        <v>0</v>
      </c>
      <c r="E42" s="64">
        <f>+E35-D35</f>
        <v>-10.402993295878332</v>
      </c>
      <c r="F42" s="64">
        <f>+F35-E35</f>
        <v>0</v>
      </c>
      <c r="G42" s="75"/>
    </row>
    <row r="43" spans="1:7" x14ac:dyDescent="0.2">
      <c r="A43" s="25" t="s">
        <v>123</v>
      </c>
      <c r="B43" s="64">
        <f>+B39-B41-B42</f>
        <v>3253902.7285464322</v>
      </c>
      <c r="C43" s="64">
        <f>+C39-C41-C42</f>
        <v>3626614.7006608061</v>
      </c>
      <c r="D43" s="64">
        <f>+D39-D41-D42</f>
        <v>3626293.5244150814</v>
      </c>
      <c r="E43" s="64">
        <f>+E39-E41-E42</f>
        <v>3622663.1454083771</v>
      </c>
      <c r="F43" s="64">
        <f>+F39-F41-F42</f>
        <v>3622652.7424150812</v>
      </c>
      <c r="G43" s="75"/>
    </row>
    <row r="44" spans="1:7" x14ac:dyDescent="0.2">
      <c r="A44" s="69" t="s">
        <v>124</v>
      </c>
      <c r="B44" s="268">
        <f>+B43/Datos!B73</f>
        <v>1.3126826640212264</v>
      </c>
      <c r="C44" s="78">
        <f>+C43/Datos!$B$74</f>
        <v>1.3230991246482329</v>
      </c>
      <c r="D44" s="78">
        <f>+D43/Datos!$B$74</f>
        <v>1.3229819498048454</v>
      </c>
      <c r="E44" s="78">
        <f>+E43/Datos!$B$74</f>
        <v>1.3216574773470913</v>
      </c>
      <c r="F44" s="78">
        <f>+F43/Datos!$B$74</f>
        <v>1.3216536820193656</v>
      </c>
      <c r="G44" s="75"/>
    </row>
    <row r="45" spans="1:7" x14ac:dyDescent="0.2">
      <c r="A45" s="69"/>
      <c r="B45" s="78"/>
      <c r="C45" s="78"/>
      <c r="D45" s="78"/>
      <c r="E45" s="78"/>
      <c r="F45" s="79"/>
      <c r="G45" s="75"/>
    </row>
    <row r="46" spans="1:7" x14ac:dyDescent="0.2">
      <c r="A46" s="69" t="s">
        <v>109</v>
      </c>
      <c r="B46" s="270">
        <f>(B10+B11+B15+B16)/B43</f>
        <v>0.27631486773654218</v>
      </c>
      <c r="C46" s="270">
        <f>(C10+C11+C15+C16)/C43</f>
        <v>0.2532594787771984</v>
      </c>
      <c r="D46" s="270">
        <f>(D10+D11+D15+D16)/D43</f>
        <v>0.25328190964994496</v>
      </c>
      <c r="E46" s="270">
        <f>(E10+E11+E15+E16)/E43</f>
        <v>0.25253072949236449</v>
      </c>
      <c r="F46" s="270">
        <f>(F10+F11+F15+F16)/F43</f>
        <v>0.25253145467241145</v>
      </c>
      <c r="G46" s="75"/>
    </row>
    <row r="47" spans="1:7" x14ac:dyDescent="0.2">
      <c r="A47" s="35" t="s">
        <v>110</v>
      </c>
      <c r="B47" s="150">
        <f>1-B46</f>
        <v>0.72368513226345788</v>
      </c>
      <c r="C47" s="150">
        <f>1-C46</f>
        <v>0.74674052122280155</v>
      </c>
      <c r="D47" s="150">
        <f>1-D46</f>
        <v>0.74671809035005499</v>
      </c>
      <c r="E47" s="150">
        <f>1-E46</f>
        <v>0.74746927050763556</v>
      </c>
      <c r="F47" s="150">
        <f>1-F46</f>
        <v>0.74746854532758855</v>
      </c>
      <c r="G47" s="75"/>
    </row>
    <row r="50" spans="1:7" x14ac:dyDescent="0.2">
      <c r="A50" s="33"/>
      <c r="B50" s="18" t="s">
        <v>125</v>
      </c>
      <c r="C50" s="18"/>
      <c r="D50" s="18"/>
      <c r="E50" s="18"/>
      <c r="F50" s="19"/>
    </row>
    <row r="51" spans="1:7" x14ac:dyDescent="0.2">
      <c r="A51" s="82" t="s">
        <v>94</v>
      </c>
      <c r="B51" s="21" t="s">
        <v>54</v>
      </c>
      <c r="C51" s="21" t="s">
        <v>95</v>
      </c>
      <c r="D51" s="21" t="s">
        <v>96</v>
      </c>
      <c r="E51" s="21" t="s">
        <v>97</v>
      </c>
      <c r="F51" s="22" t="s">
        <v>98</v>
      </c>
    </row>
    <row r="52" spans="1:7" x14ac:dyDescent="0.2">
      <c r="A52" s="72" t="s">
        <v>126</v>
      </c>
      <c r="B52" s="83">
        <f>+Datos!$C$49</f>
        <v>1032000</v>
      </c>
      <c r="C52" s="83">
        <f>+Datos!$C$49</f>
        <v>1032000</v>
      </c>
      <c r="D52" s="83">
        <f>+Datos!$C$49</f>
        <v>1032000</v>
      </c>
      <c r="E52" s="83">
        <f>+Datos!$C$49</f>
        <v>1032000</v>
      </c>
      <c r="F52" s="83">
        <f>+Datos!$C$49</f>
        <v>1032000</v>
      </c>
    </row>
    <row r="53" spans="1:7" x14ac:dyDescent="0.2">
      <c r="A53" s="27" t="s">
        <v>127</v>
      </c>
      <c r="B53" s="64">
        <f>+'E-Inv AF y Am'!$D$56*0.05</f>
        <v>32927.666278456956</v>
      </c>
      <c r="C53" s="64">
        <f>+'E-Inv AF y Am'!$D$56*0.05</f>
        <v>32927.666278456956</v>
      </c>
      <c r="D53" s="64">
        <f>+'E-Inv AF y Am'!$D$56*0.05</f>
        <v>32927.666278456956</v>
      </c>
      <c r="E53" s="64">
        <f>+'E-Inv AF y Am'!$E$56*0.05</f>
        <v>32738.632945123623</v>
      </c>
      <c r="F53" s="64">
        <f>+'E-Inv AF y Am'!$E$56*0.05</f>
        <v>32738.632945123623</v>
      </c>
    </row>
    <row r="54" spans="1:7" x14ac:dyDescent="0.2">
      <c r="A54" s="27" t="s">
        <v>104</v>
      </c>
      <c r="B54" s="64">
        <f>+'E-Inv AF y Am'!$B$20*0.001</f>
        <v>12110.68158</v>
      </c>
      <c r="C54" s="64">
        <f>+'E-Inv AF y Am'!$B$20*0.001</f>
        <v>12110.68158</v>
      </c>
      <c r="D54" s="64">
        <f>+'E-Inv AF y Am'!$B$20*0.001</f>
        <v>12110.68158</v>
      </c>
      <c r="E54" s="64">
        <f>+'E-Inv AF y Am'!$B$20*0.001</f>
        <v>12110.68158</v>
      </c>
      <c r="F54" s="64">
        <f>+'E-Inv AF y Am'!$B$20*0.001</f>
        <v>12110.68158</v>
      </c>
    </row>
    <row r="55" spans="1:7" x14ac:dyDescent="0.2">
      <c r="A55" s="27" t="s">
        <v>128</v>
      </c>
      <c r="B55" s="64">
        <f>+Datos!$B$63*0.05</f>
        <v>42000</v>
      </c>
      <c r="C55" s="64">
        <f>+Datos!$B$63*0.05</f>
        <v>42000</v>
      </c>
      <c r="D55" s="64">
        <f>+Datos!$B$63*0.05</f>
        <v>42000</v>
      </c>
      <c r="E55" s="64">
        <f>+Datos!$B$63*0.05</f>
        <v>42000</v>
      </c>
      <c r="F55" s="64">
        <f>+Datos!$B$63*0.05</f>
        <v>42000</v>
      </c>
    </row>
    <row r="56" spans="1:7" x14ac:dyDescent="0.2">
      <c r="A56" s="27" t="s">
        <v>129</v>
      </c>
      <c r="B56" s="64">
        <v>0</v>
      </c>
      <c r="C56" s="64">
        <v>0</v>
      </c>
      <c r="D56" s="64">
        <v>0</v>
      </c>
      <c r="E56" s="64">
        <v>0</v>
      </c>
      <c r="F56" s="64">
        <v>0</v>
      </c>
    </row>
    <row r="57" spans="1:7" x14ac:dyDescent="0.2">
      <c r="A57" s="27" t="s">
        <v>130</v>
      </c>
      <c r="B57" s="64">
        <v>0</v>
      </c>
      <c r="C57" s="64">
        <v>0</v>
      </c>
      <c r="D57" s="64">
        <v>0</v>
      </c>
      <c r="E57" s="64">
        <v>0</v>
      </c>
      <c r="F57" s="64">
        <v>0</v>
      </c>
    </row>
    <row r="58" spans="1:7" x14ac:dyDescent="0.2">
      <c r="A58" s="27" t="s">
        <v>107</v>
      </c>
      <c r="B58" s="64">
        <f>+('E-Inv AF y Am'!$B$7+'E-Inv AF y Am'!$B$8)*0.008*0.05</f>
        <v>3946.8</v>
      </c>
      <c r="C58" s="64">
        <f>+('E-Inv AF y Am'!$B$7+'E-Inv AF y Am'!$B$8)*0.008*0.05</f>
        <v>3946.8</v>
      </c>
      <c r="D58" s="64">
        <f>+('E-Inv AF y Am'!$B$7+'E-Inv AF y Am'!$B$8)*0.008*0.05</f>
        <v>3946.8</v>
      </c>
      <c r="E58" s="64">
        <f>+('E-Inv AF y Am'!$B$7+'E-Inv AF y Am'!$B$8)*0.008*0.05</f>
        <v>3946.8</v>
      </c>
      <c r="F58" s="64">
        <f>+('E-Inv AF y Am'!$B$7+'E-Inv AF y Am'!$B$8)*0.008*0.05</f>
        <v>3946.8</v>
      </c>
    </row>
    <row r="59" spans="1:7" x14ac:dyDescent="0.2">
      <c r="A59" s="27" t="s">
        <v>21</v>
      </c>
      <c r="B59" s="64">
        <f>+SUM(B52:B58)*InfoInicial!$B$15</f>
        <v>78608.960350092006</v>
      </c>
      <c r="C59" s="64">
        <f>+SUM(C52:C58)*InfoInicial!$B$15</f>
        <v>78608.960350092006</v>
      </c>
      <c r="D59" s="64">
        <f>+SUM(D52:D58)*InfoInicial!$B$15</f>
        <v>78608.960350092006</v>
      </c>
      <c r="E59" s="64">
        <f>+SUM(E52:E58)*InfoInicial!$B$15</f>
        <v>78595.728016758672</v>
      </c>
      <c r="F59" s="64">
        <f>+SUM(F52:F58)*InfoInicial!$B$15</f>
        <v>78595.728016758672</v>
      </c>
    </row>
    <row r="60" spans="1:7" x14ac:dyDescent="0.2">
      <c r="A60" s="27"/>
      <c r="B60" s="47"/>
      <c r="C60" s="47"/>
      <c r="D60" s="47"/>
      <c r="E60" s="47"/>
      <c r="F60" s="49"/>
    </row>
    <row r="61" spans="1:7" x14ac:dyDescent="0.2">
      <c r="A61" s="25" t="s">
        <v>131</v>
      </c>
      <c r="B61" s="64">
        <f>+SUM(B52:B59)</f>
        <v>1201594.1082085492</v>
      </c>
      <c r="C61" s="64">
        <f>+SUM(C52:C59)</f>
        <v>1201594.1082085492</v>
      </c>
      <c r="D61" s="64">
        <f>+SUM(D52:D59)</f>
        <v>1201594.1082085492</v>
      </c>
      <c r="E61" s="64">
        <f>+SUM(E52:E59)</f>
        <v>1201391.8425418823</v>
      </c>
      <c r="F61" s="64">
        <f>+SUM(F52:F59)</f>
        <v>1201391.8425418823</v>
      </c>
    </row>
    <row r="62" spans="1:7" x14ac:dyDescent="0.2">
      <c r="A62" s="25"/>
      <c r="B62" s="85"/>
      <c r="C62" s="85"/>
      <c r="D62" s="85"/>
      <c r="E62" s="85"/>
      <c r="F62" s="86"/>
      <c r="G62" s="75"/>
    </row>
    <row r="63" spans="1:7" x14ac:dyDescent="0.2">
      <c r="A63" s="69" t="s">
        <v>109</v>
      </c>
      <c r="B63" s="87"/>
      <c r="C63" s="87"/>
      <c r="D63" s="87"/>
      <c r="E63" s="87"/>
      <c r="F63" s="88"/>
      <c r="G63" s="75"/>
    </row>
    <row r="64" spans="1:7" x14ac:dyDescent="0.2">
      <c r="A64" s="35" t="s">
        <v>110</v>
      </c>
      <c r="B64" s="80"/>
      <c r="C64" s="80"/>
      <c r="D64" s="80"/>
      <c r="E64" s="80"/>
      <c r="F64" s="81"/>
      <c r="G64" s="75"/>
    </row>
    <row r="67" spans="1:6" x14ac:dyDescent="0.2">
      <c r="A67" s="33"/>
      <c r="B67" s="18" t="s">
        <v>132</v>
      </c>
      <c r="C67" s="18"/>
      <c r="D67" s="18"/>
      <c r="E67" s="18"/>
      <c r="F67" s="19"/>
    </row>
    <row r="68" spans="1:6" x14ac:dyDescent="0.2">
      <c r="A68" s="82" t="s">
        <v>94</v>
      </c>
      <c r="B68" s="21" t="s">
        <v>54</v>
      </c>
      <c r="C68" s="21" t="s">
        <v>95</v>
      </c>
      <c r="D68" s="21" t="s">
        <v>96</v>
      </c>
      <c r="E68" s="21" t="s">
        <v>97</v>
      </c>
      <c r="F68" s="22" t="s">
        <v>98</v>
      </c>
    </row>
    <row r="69" spans="1:6" x14ac:dyDescent="0.2">
      <c r="A69" s="23" t="s">
        <v>126</v>
      </c>
      <c r="B69" s="62">
        <f>+Datos!$C$48</f>
        <v>324000</v>
      </c>
      <c r="C69" s="62">
        <f>+Datos!$C$48</f>
        <v>324000</v>
      </c>
      <c r="D69" s="62">
        <f>+Datos!$C$48</f>
        <v>324000</v>
      </c>
      <c r="E69" s="62">
        <f>+Datos!$C$48</f>
        <v>324000</v>
      </c>
      <c r="F69" s="62">
        <f>+Datos!$C$48</f>
        <v>324000</v>
      </c>
    </row>
    <row r="70" spans="1:6" x14ac:dyDescent="0.2">
      <c r="A70" s="27" t="s">
        <v>127</v>
      </c>
      <c r="B70" s="64">
        <f>+'E-Inv AF y Am'!$D$56*0.05</f>
        <v>32927.666278456956</v>
      </c>
      <c r="C70" s="64">
        <f>+'E-Inv AF y Am'!$D$56*0.05</f>
        <v>32927.666278456956</v>
      </c>
      <c r="D70" s="64">
        <f>+'E-Inv AF y Am'!$D$56*0.05</f>
        <v>32927.666278456956</v>
      </c>
      <c r="E70" s="64">
        <f>+'E-Inv AF y Am'!$E$56*0.05</f>
        <v>32738.632945123623</v>
      </c>
      <c r="F70" s="64">
        <f>+'E-Inv AF y Am'!$E$56*0.05</f>
        <v>32738.632945123623</v>
      </c>
    </row>
    <row r="71" spans="1:6" x14ac:dyDescent="0.2">
      <c r="A71" s="27" t="s">
        <v>104</v>
      </c>
      <c r="B71" s="64">
        <f>+'E-Inv AF y Am'!$B$20*0.001</f>
        <v>12110.68158</v>
      </c>
      <c r="C71" s="64">
        <f>+'E-Inv AF y Am'!$B$20*0.001</f>
        <v>12110.68158</v>
      </c>
      <c r="D71" s="64">
        <f>+'E-Inv AF y Am'!$B$20*0.001</f>
        <v>12110.68158</v>
      </c>
      <c r="E71" s="64">
        <f>+'E-Inv AF y Am'!$B$20*0.001</f>
        <v>12110.68158</v>
      </c>
      <c r="F71" s="64">
        <f>+'E-Inv AF y Am'!$B$20*0.001</f>
        <v>12110.68158</v>
      </c>
    </row>
    <row r="72" spans="1:6" x14ac:dyDescent="0.2">
      <c r="A72" s="27" t="s">
        <v>133</v>
      </c>
      <c r="B72" s="64">
        <f>+Datos!$B$63*0.05</f>
        <v>42000</v>
      </c>
      <c r="C72" s="64">
        <f>+Datos!$B$63*0.05</f>
        <v>42000</v>
      </c>
      <c r="D72" s="64">
        <f>+Datos!$B$63*0.05</f>
        <v>42000</v>
      </c>
      <c r="E72" s="64">
        <f>+Datos!$B$63*0.05</f>
        <v>42000</v>
      </c>
      <c r="F72" s="64">
        <f>+Datos!$B$63*0.05</f>
        <v>42000</v>
      </c>
    </row>
    <row r="73" spans="1:6" x14ac:dyDescent="0.2">
      <c r="A73" s="27" t="s">
        <v>129</v>
      </c>
      <c r="B73" s="64">
        <v>0</v>
      </c>
      <c r="C73" s="64">
        <v>0</v>
      </c>
      <c r="D73" s="64">
        <v>0</v>
      </c>
      <c r="E73" s="64">
        <v>0</v>
      </c>
      <c r="F73" s="64">
        <v>0</v>
      </c>
    </row>
    <row r="74" spans="1:6" x14ac:dyDescent="0.2">
      <c r="A74" s="27" t="s">
        <v>130</v>
      </c>
      <c r="B74" s="64">
        <v>0</v>
      </c>
      <c r="C74" s="64">
        <v>0</v>
      </c>
      <c r="D74" s="64">
        <v>0</v>
      </c>
      <c r="E74" s="64">
        <v>0</v>
      </c>
      <c r="F74" s="64">
        <v>0</v>
      </c>
    </row>
    <row r="75" spans="1:6" x14ac:dyDescent="0.2">
      <c r="A75" s="27" t="s">
        <v>107</v>
      </c>
      <c r="B75" s="64">
        <f>+('E-Inv AF y Am'!$B$7+'E-Inv AF y Am'!$B$8)*0.008*0.05</f>
        <v>3946.8</v>
      </c>
      <c r="C75" s="64">
        <f>+('E-Inv AF y Am'!$B$7+'E-Inv AF y Am'!$B$8)*0.008*0.05</f>
        <v>3946.8</v>
      </c>
      <c r="D75" s="64">
        <f>+('E-Inv AF y Am'!$B$7+'E-Inv AF y Am'!$B$8)*0.008*0.05</f>
        <v>3946.8</v>
      </c>
      <c r="E75" s="64">
        <f>+('E-Inv AF y Am'!$B$7+'E-Inv AF y Am'!$B$8)*0.008*0.05</f>
        <v>3946.8</v>
      </c>
      <c r="F75" s="64">
        <f>+('E-Inv AF y Am'!$B$7+'E-Inv AF y Am'!$B$8)*0.008*0.05</f>
        <v>3946.8</v>
      </c>
    </row>
    <row r="76" spans="1:6" x14ac:dyDescent="0.2">
      <c r="A76" s="27" t="s">
        <v>21</v>
      </c>
      <c r="B76" s="64">
        <f>+SUM(B69:B75)*InfoInicial!$B$15</f>
        <v>29048.960350091987</v>
      </c>
      <c r="C76" s="64">
        <f>+SUM(C69:C75)*InfoInicial!$B$15</f>
        <v>29048.960350091987</v>
      </c>
      <c r="D76" s="64">
        <f>+SUM(D69:D75)*InfoInicial!$B$15</f>
        <v>29048.960350091987</v>
      </c>
      <c r="E76" s="64">
        <f>+SUM(E69:E75)*InfoInicial!$B$15</f>
        <v>29035.72801675865</v>
      </c>
      <c r="F76" s="64">
        <f>+SUM(F69:F75)*InfoInicial!$B$15</f>
        <v>29035.72801675865</v>
      </c>
    </row>
    <row r="77" spans="1:6" x14ac:dyDescent="0.2">
      <c r="A77" s="27"/>
      <c r="B77" s="47"/>
      <c r="C77" s="47"/>
      <c r="D77" s="47"/>
      <c r="E77" s="47"/>
      <c r="F77" s="49"/>
    </row>
    <row r="78" spans="1:6" x14ac:dyDescent="0.2">
      <c r="A78" s="25" t="s">
        <v>134</v>
      </c>
      <c r="B78" s="94">
        <f>+SUM(B69:B76)</f>
        <v>444034.10820854892</v>
      </c>
      <c r="C78" s="94">
        <f>+SUM(C69:C76)</f>
        <v>444034.10820854892</v>
      </c>
      <c r="D78" s="94">
        <f>+SUM(D69:D76)</f>
        <v>444034.10820854892</v>
      </c>
      <c r="E78" s="94">
        <f>+SUM(E69:E76)</f>
        <v>443831.84254188219</v>
      </c>
      <c r="F78" s="94">
        <f>+SUM(F69:F76)</f>
        <v>443831.84254188219</v>
      </c>
    </row>
    <row r="79" spans="1:6" x14ac:dyDescent="0.2">
      <c r="A79" s="25"/>
      <c r="B79" s="85"/>
      <c r="C79" s="85"/>
      <c r="D79" s="85"/>
      <c r="E79" s="85"/>
      <c r="F79" s="86"/>
    </row>
    <row r="80" spans="1:6" x14ac:dyDescent="0.2">
      <c r="A80" s="69" t="s">
        <v>109</v>
      </c>
      <c r="B80" s="87">
        <f>+(SUM(B69:B74,B76))/B78</f>
        <v>0.99111149362844375</v>
      </c>
      <c r="C80" s="87">
        <f>+(SUM(C69:C74,C76))/C78</f>
        <v>0.99111149362844375</v>
      </c>
      <c r="D80" s="87">
        <f>+(SUM(D69:D74,D76))/D78</f>
        <v>0.99111149362844375</v>
      </c>
      <c r="E80" s="87">
        <f>+(SUM(E69:E74,E76))/E78</f>
        <v>0.99110744290586239</v>
      </c>
      <c r="F80" s="87">
        <f>+(SUM(F69:F74,F76))/F78</f>
        <v>0.99110744290586239</v>
      </c>
    </row>
    <row r="81" spans="1:6" x14ac:dyDescent="0.2">
      <c r="A81" s="35" t="s">
        <v>110</v>
      </c>
      <c r="B81" s="80">
        <f>1-B80</f>
        <v>8.8885063715562485E-3</v>
      </c>
      <c r="C81" s="80">
        <f>1-C80</f>
        <v>8.8885063715562485E-3</v>
      </c>
      <c r="D81" s="80">
        <f>1-D80</f>
        <v>8.8885063715562485E-3</v>
      </c>
      <c r="E81" s="80">
        <f>1-E80</f>
        <v>8.8925570941376098E-3</v>
      </c>
      <c r="F81" s="80">
        <f>1-F80</f>
        <v>8.8925570941376098E-3</v>
      </c>
    </row>
    <row r="84" spans="1:6" ht="15.75" x14ac:dyDescent="0.25">
      <c r="A84" s="89" t="s">
        <v>135</v>
      </c>
      <c r="B84" s="90"/>
      <c r="C84" s="90"/>
      <c r="D84" s="90"/>
      <c r="E84" s="90"/>
      <c r="F84" s="91"/>
    </row>
    <row r="85" spans="1:6" x14ac:dyDescent="0.2">
      <c r="A85" s="27"/>
      <c r="B85" s="60" t="s">
        <v>54</v>
      </c>
      <c r="C85" s="60" t="s">
        <v>95</v>
      </c>
      <c r="D85" s="60" t="s">
        <v>96</v>
      </c>
      <c r="E85" s="60" t="s">
        <v>97</v>
      </c>
      <c r="F85" s="22" t="s">
        <v>98</v>
      </c>
    </row>
    <row r="86" spans="1:6" x14ac:dyDescent="0.2">
      <c r="A86" s="27" t="s">
        <v>136</v>
      </c>
      <c r="B86" s="92">
        <f>+Datos!H2</f>
        <v>2384400</v>
      </c>
      <c r="C86" s="92">
        <f>+InfoInicial!$B$19</f>
        <v>2741000</v>
      </c>
      <c r="D86" s="92">
        <f>+InfoInicial!$B$19</f>
        <v>2741000</v>
      </c>
      <c r="E86" s="92">
        <f>+InfoInicial!$B$19</f>
        <v>2741000</v>
      </c>
      <c r="F86" s="92">
        <f>+InfoInicial!$B$19</f>
        <v>2741000</v>
      </c>
    </row>
    <row r="87" spans="1:6" x14ac:dyDescent="0.2">
      <c r="A87" s="27" t="s">
        <v>137</v>
      </c>
      <c r="B87" s="64">
        <f>+InfoInicial!$B$20</f>
        <v>5</v>
      </c>
      <c r="C87" s="64">
        <f>+InfoInicial!$B$20</f>
        <v>5</v>
      </c>
      <c r="D87" s="64">
        <f>+InfoInicial!$B$20</f>
        <v>5</v>
      </c>
      <c r="E87" s="64">
        <f>+InfoInicial!$B$20</f>
        <v>5</v>
      </c>
      <c r="F87" s="64">
        <f>+InfoInicial!$B$20</f>
        <v>5</v>
      </c>
    </row>
    <row r="88" spans="1:6" x14ac:dyDescent="0.2">
      <c r="A88" s="25" t="s">
        <v>138</v>
      </c>
      <c r="B88" s="94">
        <f>+B86*B87</f>
        <v>11922000</v>
      </c>
      <c r="C88" s="94">
        <f>+C86*C87</f>
        <v>13705000</v>
      </c>
      <c r="D88" s="94">
        <f>+D86*D87</f>
        <v>13705000</v>
      </c>
      <c r="E88" s="94">
        <f>+E86*E87</f>
        <v>13705000</v>
      </c>
      <c r="F88" s="94">
        <f>+F86*F87</f>
        <v>13705000</v>
      </c>
    </row>
    <row r="89" spans="1:6" x14ac:dyDescent="0.2">
      <c r="A89" s="27"/>
      <c r="B89" s="85"/>
      <c r="C89" s="85"/>
      <c r="D89" s="85"/>
      <c r="E89" s="85"/>
      <c r="F89" s="86"/>
    </row>
    <row r="90" spans="1:6" x14ac:dyDescent="0.2">
      <c r="A90" s="27" t="s">
        <v>139</v>
      </c>
      <c r="B90" s="64">
        <f t="shared" ref="B90:F91" si="1">+B7</f>
        <v>1442121.7536000002</v>
      </c>
      <c r="C90" s="64">
        <f t="shared" si="1"/>
        <v>1576105.3440000003</v>
      </c>
      <c r="D90" s="64">
        <f t="shared" si="1"/>
        <v>1576105.3440000003</v>
      </c>
      <c r="E90" s="64">
        <f t="shared" si="1"/>
        <v>1576105.3440000003</v>
      </c>
      <c r="F90" s="64">
        <f t="shared" si="1"/>
        <v>1576105.3440000003</v>
      </c>
    </row>
    <row r="91" spans="1:6" x14ac:dyDescent="0.2">
      <c r="A91" s="27" t="s">
        <v>100</v>
      </c>
      <c r="B91" s="64">
        <f t="shared" si="1"/>
        <v>94500</v>
      </c>
      <c r="C91" s="64">
        <f t="shared" si="1"/>
        <v>105000</v>
      </c>
      <c r="D91" s="64">
        <f t="shared" si="1"/>
        <v>105000</v>
      </c>
      <c r="E91" s="64">
        <f t="shared" si="1"/>
        <v>105000</v>
      </c>
      <c r="F91" s="64">
        <f t="shared" si="1"/>
        <v>105000</v>
      </c>
    </row>
    <row r="92" spans="1:6" x14ac:dyDescent="0.2">
      <c r="A92" s="27" t="s">
        <v>140</v>
      </c>
      <c r="B92" s="64">
        <f>+SUM(B10:B16)</f>
        <v>1820293.9705058809</v>
      </c>
      <c r="C92" s="64">
        <f>+SUM(C10:C16)</f>
        <v>1945188.1804150809</v>
      </c>
      <c r="D92" s="64">
        <f>+SUM(D10:D16)</f>
        <v>1945188.1804150809</v>
      </c>
      <c r="E92" s="64">
        <f>+SUM(E10:E16)</f>
        <v>1941547.3984150807</v>
      </c>
      <c r="F92" s="64">
        <f>+SUM(F10:F16)</f>
        <v>1941547.3984150807</v>
      </c>
    </row>
    <row r="93" spans="1:6" x14ac:dyDescent="0.2">
      <c r="A93" s="27"/>
      <c r="B93" s="85"/>
      <c r="C93" s="85"/>
      <c r="D93" s="85"/>
      <c r="E93" s="85"/>
      <c r="F93" s="86"/>
    </row>
    <row r="94" spans="1:6" x14ac:dyDescent="0.2">
      <c r="A94" s="27" t="s">
        <v>141</v>
      </c>
      <c r="B94" s="94">
        <f>+B17</f>
        <v>3356915.7241058811</v>
      </c>
      <c r="C94" s="94">
        <f>+C17</f>
        <v>3626293.5244150814</v>
      </c>
      <c r="D94" s="94">
        <f>+D17</f>
        <v>3626293.5244150814</v>
      </c>
      <c r="E94" s="94">
        <f>+E17</f>
        <v>3622652.7424150812</v>
      </c>
      <c r="F94" s="94">
        <f>+F17</f>
        <v>3622652.7424150812</v>
      </c>
    </row>
    <row r="95" spans="1:6" x14ac:dyDescent="0.2">
      <c r="A95" s="27"/>
      <c r="B95" s="85"/>
      <c r="C95" s="85"/>
      <c r="D95" s="85"/>
      <c r="E95" s="85"/>
      <c r="F95" s="86"/>
    </row>
    <row r="96" spans="1:6" x14ac:dyDescent="0.2">
      <c r="A96" s="27" t="s">
        <v>120</v>
      </c>
      <c r="B96" s="85"/>
      <c r="C96" s="85"/>
      <c r="D96" s="85"/>
      <c r="E96" s="85"/>
      <c r="F96" s="86"/>
    </row>
    <row r="97" spans="1:6" x14ac:dyDescent="0.2">
      <c r="A97" s="29" t="s">
        <v>113</v>
      </c>
      <c r="B97" s="64">
        <f>+B41</f>
        <v>87468.89206762785</v>
      </c>
      <c r="C97" s="64"/>
      <c r="D97" s="64"/>
      <c r="E97" s="64"/>
      <c r="F97" s="65"/>
    </row>
    <row r="98" spans="1:6" x14ac:dyDescent="0.2">
      <c r="A98" s="29" t="s">
        <v>122</v>
      </c>
      <c r="B98" s="269"/>
      <c r="C98" s="269"/>
      <c r="D98" s="269"/>
      <c r="E98" s="269"/>
      <c r="F98" s="274"/>
    </row>
    <row r="99" spans="1:6" x14ac:dyDescent="0.2">
      <c r="A99" s="27"/>
      <c r="B99" s="85"/>
      <c r="C99" s="85"/>
      <c r="D99" s="85"/>
      <c r="E99" s="85"/>
      <c r="F99" s="86"/>
    </row>
    <row r="100" spans="1:6" x14ac:dyDescent="0.2">
      <c r="A100" s="25" t="s">
        <v>142</v>
      </c>
      <c r="B100" s="94">
        <f>+B94-B97-B98</f>
        <v>3269446.8320382531</v>
      </c>
      <c r="C100" s="94">
        <f>+C94-C97-C98</f>
        <v>3626293.5244150814</v>
      </c>
      <c r="D100" s="94">
        <f>+D94-D97-D98</f>
        <v>3626293.5244150814</v>
      </c>
      <c r="E100" s="94">
        <f>+E94-E97-E98</f>
        <v>3622652.7424150812</v>
      </c>
      <c r="F100" s="94">
        <f>+F94-F97-F98</f>
        <v>3622652.7424150812</v>
      </c>
    </row>
    <row r="101" spans="1:6" x14ac:dyDescent="0.2">
      <c r="A101" s="29" t="s">
        <v>143</v>
      </c>
      <c r="B101" s="267">
        <f>+Datos!B73</f>
        <v>2478819</v>
      </c>
      <c r="C101" s="267">
        <f>+Datos!$B$74</f>
        <v>2741000</v>
      </c>
      <c r="D101" s="267">
        <f>+Datos!$B$74</f>
        <v>2741000</v>
      </c>
      <c r="E101" s="267">
        <f>+Datos!$B$74</f>
        <v>2741000</v>
      </c>
      <c r="F101" s="267">
        <f>+Datos!$B$74</f>
        <v>2741000</v>
      </c>
    </row>
    <row r="102" spans="1:6" x14ac:dyDescent="0.2">
      <c r="A102" s="27" t="s">
        <v>144</v>
      </c>
      <c r="B102" s="269">
        <f>+B44</f>
        <v>1.3126826640212264</v>
      </c>
      <c r="C102" s="64">
        <f>+C44</f>
        <v>1.3230991246482329</v>
      </c>
      <c r="D102" s="64">
        <f>+D44</f>
        <v>1.3229819498048454</v>
      </c>
      <c r="E102" s="64">
        <f>+E44</f>
        <v>1.3216574773470913</v>
      </c>
      <c r="F102" s="64">
        <f>+F44</f>
        <v>1.3216536820193656</v>
      </c>
    </row>
    <row r="103" spans="1:6" x14ac:dyDescent="0.2">
      <c r="A103" s="27"/>
      <c r="B103" s="96"/>
      <c r="C103" s="96"/>
      <c r="D103" s="96"/>
      <c r="E103" s="96"/>
      <c r="F103" s="97"/>
    </row>
    <row r="104" spans="1:6" x14ac:dyDescent="0.2">
      <c r="A104" s="27" t="s">
        <v>120</v>
      </c>
      <c r="B104" s="96"/>
      <c r="C104" s="96"/>
      <c r="D104" s="96"/>
      <c r="E104" s="96"/>
      <c r="F104" s="97"/>
    </row>
    <row r="105" spans="1:6" x14ac:dyDescent="0.2">
      <c r="A105" s="27" t="s">
        <v>524</v>
      </c>
      <c r="B105" s="64">
        <v>0</v>
      </c>
      <c r="C105" s="64">
        <f>B106</f>
        <v>123942.18445422017</v>
      </c>
      <c r="D105" s="64">
        <f>C106</f>
        <v>124925.69625016151</v>
      </c>
      <c r="E105" s="64">
        <f>D106</f>
        <v>124914.6327186237</v>
      </c>
      <c r="F105" s="64">
        <f>E106</f>
        <v>124789.57735363502</v>
      </c>
    </row>
    <row r="106" spans="1:6" x14ac:dyDescent="0.2">
      <c r="A106" s="27" t="s">
        <v>525</v>
      </c>
      <c r="B106" s="64">
        <f>($B$101-$B$86)*B102</f>
        <v>123942.18445422017</v>
      </c>
      <c r="C106" s="64">
        <f>($B$101-$B$86)*C102</f>
        <v>124925.69625016151</v>
      </c>
      <c r="D106" s="64">
        <f>($B$101-$B$86)*D102</f>
        <v>124914.6327186237</v>
      </c>
      <c r="E106" s="64">
        <f>($B$101-$B$86)*E102</f>
        <v>124789.57735363502</v>
      </c>
      <c r="F106" s="64">
        <f>($B$101-$B$86)*F102</f>
        <v>124789.21900258648</v>
      </c>
    </row>
    <row r="107" spans="1:6" x14ac:dyDescent="0.2">
      <c r="A107" s="27" t="s">
        <v>145</v>
      </c>
      <c r="B107" s="64">
        <f>($B$101-$B$86)*B102</f>
        <v>123942.18445422017</v>
      </c>
      <c r="C107" s="64">
        <f>C106-C105</f>
        <v>983.51179594133282</v>
      </c>
      <c r="D107" s="64">
        <f>D106-D105</f>
        <v>-11.063531537802191</v>
      </c>
      <c r="E107" s="64">
        <f>E106-E105</f>
        <v>-125.05536498868605</v>
      </c>
      <c r="F107" s="64">
        <f>F106-F105</f>
        <v>-0.35835104853322264</v>
      </c>
    </row>
    <row r="108" spans="1:6" x14ac:dyDescent="0.2">
      <c r="A108" s="27"/>
      <c r="B108" s="96"/>
      <c r="C108" s="96"/>
      <c r="D108" s="96"/>
      <c r="E108" s="96"/>
      <c r="F108" s="97"/>
    </row>
    <row r="109" spans="1:6" x14ac:dyDescent="0.2">
      <c r="A109" s="25" t="s">
        <v>146</v>
      </c>
      <c r="B109" s="94">
        <f>+B100-B107</f>
        <v>3145504.6475840327</v>
      </c>
      <c r="C109" s="94">
        <f>+C100-C107</f>
        <v>3625310.0126191401</v>
      </c>
      <c r="D109" s="94">
        <f>+D100-D107</f>
        <v>3626304.5879466194</v>
      </c>
      <c r="E109" s="94">
        <f>+E100-E107</f>
        <v>3622777.79778007</v>
      </c>
      <c r="F109" s="94">
        <f>+F100-F107</f>
        <v>3622653.1007661298</v>
      </c>
    </row>
    <row r="110" spans="1:6" x14ac:dyDescent="0.2">
      <c r="A110" s="27"/>
      <c r="B110" s="85"/>
      <c r="C110" s="85"/>
      <c r="D110" s="85"/>
      <c r="E110" s="85"/>
      <c r="F110" s="86"/>
    </row>
    <row r="111" spans="1:6" x14ac:dyDescent="0.2">
      <c r="A111" s="25" t="s">
        <v>147</v>
      </c>
      <c r="B111" s="94">
        <f>+B61</f>
        <v>1201594.1082085492</v>
      </c>
      <c r="C111" s="94">
        <f>+C61</f>
        <v>1201594.1082085492</v>
      </c>
      <c r="D111" s="94">
        <f>+D61</f>
        <v>1201594.1082085492</v>
      </c>
      <c r="E111" s="94">
        <f>+E61</f>
        <v>1201391.8425418823</v>
      </c>
      <c r="F111" s="94">
        <f>+F61</f>
        <v>1201391.8425418823</v>
      </c>
    </row>
    <row r="112" spans="1:6" x14ac:dyDescent="0.2">
      <c r="A112" s="25" t="s">
        <v>148</v>
      </c>
      <c r="B112" s="94">
        <f>+B78</f>
        <v>444034.10820854892</v>
      </c>
      <c r="C112" s="94">
        <f>+C78</f>
        <v>444034.10820854892</v>
      </c>
      <c r="D112" s="94">
        <f>+D78</f>
        <v>444034.10820854892</v>
      </c>
      <c r="E112" s="94">
        <f>+E78</f>
        <v>443831.84254188219</v>
      </c>
      <c r="F112" s="94">
        <f>+F78</f>
        <v>443831.84254188219</v>
      </c>
    </row>
    <row r="113" spans="1:6" x14ac:dyDescent="0.2">
      <c r="A113" s="27"/>
      <c r="B113" s="96"/>
      <c r="C113" s="96"/>
      <c r="D113" s="96"/>
      <c r="E113" s="96"/>
      <c r="F113" s="97"/>
    </row>
    <row r="114" spans="1:6" x14ac:dyDescent="0.2">
      <c r="A114" s="25" t="s">
        <v>149</v>
      </c>
      <c r="B114" s="94">
        <f>+B109+B111+B112</f>
        <v>4791132.8640011316</v>
      </c>
      <c r="C114" s="94">
        <f>+C109+C111+C112</f>
        <v>5270938.229036239</v>
      </c>
      <c r="D114" s="94">
        <f>+D109+D111+D112</f>
        <v>5271932.8043637173</v>
      </c>
      <c r="E114" s="94">
        <f>+E109+E111+E112</f>
        <v>5268001.4828638341</v>
      </c>
      <c r="F114" s="94">
        <f>+F109+F111+F112</f>
        <v>5267876.7858498944</v>
      </c>
    </row>
    <row r="115" spans="1:6" x14ac:dyDescent="0.2">
      <c r="A115" s="27"/>
      <c r="B115" s="96"/>
      <c r="C115" s="96"/>
      <c r="D115" s="96"/>
      <c r="E115" s="96"/>
      <c r="F115" s="97"/>
    </row>
    <row r="116" spans="1:6" x14ac:dyDescent="0.2">
      <c r="A116" s="25" t="s">
        <v>150</v>
      </c>
      <c r="B116" s="94">
        <f>+B114/B86</f>
        <v>2.0093662405641384</v>
      </c>
      <c r="C116" s="94">
        <f>+C114/C86</f>
        <v>1.9229982594076027</v>
      </c>
      <c r="D116" s="94">
        <f>+D114/D86</f>
        <v>1.9233611106762925</v>
      </c>
      <c r="E116" s="94">
        <f>+E114/E86</f>
        <v>1.9219268452622524</v>
      </c>
      <c r="F116" s="94">
        <f>+F114/F86</f>
        <v>1.9218813520065283</v>
      </c>
    </row>
    <row r="117" spans="1:6" x14ac:dyDescent="0.2">
      <c r="A117" s="27"/>
      <c r="B117" s="96"/>
      <c r="C117" s="96"/>
      <c r="D117" s="96"/>
      <c r="E117" s="96"/>
      <c r="F117" s="97"/>
    </row>
    <row r="118" spans="1:6" x14ac:dyDescent="0.2">
      <c r="A118" s="25" t="s">
        <v>151</v>
      </c>
      <c r="B118" s="94">
        <f>+B88-B114</f>
        <v>7130867.1359988684</v>
      </c>
      <c r="C118" s="94">
        <f>+C88-C114</f>
        <v>8434061.770963762</v>
      </c>
      <c r="D118" s="94">
        <f>+D88-D114</f>
        <v>8433067.1956362836</v>
      </c>
      <c r="E118" s="94">
        <f>+E88-E114</f>
        <v>8436998.5171361659</v>
      </c>
      <c r="F118" s="94">
        <f>+F88-F114</f>
        <v>8437123.2141501047</v>
      </c>
    </row>
    <row r="119" spans="1:6" x14ac:dyDescent="0.2">
      <c r="A119" s="25" t="s">
        <v>5</v>
      </c>
      <c r="B119" s="94">
        <f>+B118*InfoInicial!$B$5</f>
        <v>713086.71359988686</v>
      </c>
      <c r="C119" s="94">
        <f>+C118*InfoInicial!$B$5</f>
        <v>843406.1770963762</v>
      </c>
      <c r="D119" s="94">
        <f>+D118*InfoInicial!$B$5</f>
        <v>843306.71956362843</v>
      </c>
      <c r="E119" s="94">
        <f>+E118*InfoInicial!$B$5</f>
        <v>843699.85171361663</v>
      </c>
      <c r="F119" s="94">
        <f>+F118*InfoInicial!$B$5</f>
        <v>843712.32141501049</v>
      </c>
    </row>
    <row r="120" spans="1:6" x14ac:dyDescent="0.2">
      <c r="A120" s="46" t="s">
        <v>152</v>
      </c>
      <c r="B120" s="94">
        <f>+(B118-B119)*InfoInicial!$B$4</f>
        <v>2246223.1478396435</v>
      </c>
      <c r="C120" s="94">
        <f>+(C118-C119)*InfoInicial!$B$4</f>
        <v>2656729.457853585</v>
      </c>
      <c r="D120" s="94">
        <f>+(D118-D119)*InfoInicial!$B$4</f>
        <v>2656416.1666254289</v>
      </c>
      <c r="E120" s="94">
        <f>+(E118-E119)*InfoInicial!$B$4</f>
        <v>2657654.5328978919</v>
      </c>
      <c r="F120" s="94">
        <f>+(F118-F119)*InfoInicial!$B$4</f>
        <v>2657693.8124572826</v>
      </c>
    </row>
    <row r="121" spans="1:6" x14ac:dyDescent="0.2">
      <c r="A121" s="25"/>
      <c r="B121" s="96"/>
      <c r="C121" s="96"/>
      <c r="D121" s="96"/>
      <c r="E121" s="96"/>
      <c r="F121" s="97"/>
    </row>
    <row r="122" spans="1:6" x14ac:dyDescent="0.2">
      <c r="A122" s="46" t="s">
        <v>153</v>
      </c>
      <c r="B122" s="94">
        <f>+B118-B119-B120</f>
        <v>4171557.2745593381</v>
      </c>
      <c r="C122" s="94">
        <f>+C118-C119-C120</f>
        <v>4933926.1360138003</v>
      </c>
      <c r="D122" s="94">
        <f>+D118-D119-D120</f>
        <v>4933344.3094472261</v>
      </c>
      <c r="E122" s="94">
        <f>+E118-E119-E120</f>
        <v>4935644.132524658</v>
      </c>
      <c r="F122" s="94">
        <f>+F118-F119-F120</f>
        <v>4935717.0802778117</v>
      </c>
    </row>
    <row r="123" spans="1:6" x14ac:dyDescent="0.2">
      <c r="A123" s="25" t="s">
        <v>154</v>
      </c>
      <c r="B123" s="271">
        <f>+B122/B88</f>
        <v>0.34990414985399582</v>
      </c>
      <c r="C123" s="271">
        <f>+C122/C88</f>
        <v>0.36000920364931049</v>
      </c>
      <c r="D123" s="271">
        <f>+D122/D88</f>
        <v>0.35996675005087386</v>
      </c>
      <c r="E123" s="271">
        <f>+E122/E88</f>
        <v>0.36013455910431652</v>
      </c>
      <c r="F123" s="271">
        <f>+F122/F88</f>
        <v>0.36013988181523615</v>
      </c>
    </row>
    <row r="124" spans="1:6" x14ac:dyDescent="0.2">
      <c r="A124" s="25"/>
      <c r="B124" s="100"/>
      <c r="C124" s="100"/>
      <c r="D124" s="100"/>
      <c r="E124" s="100"/>
      <c r="F124" s="101"/>
    </row>
    <row r="125" spans="1:6" x14ac:dyDescent="0.2">
      <c r="A125" s="25" t="s">
        <v>155</v>
      </c>
      <c r="B125" s="98"/>
      <c r="C125" s="98"/>
      <c r="D125" s="98"/>
      <c r="E125" s="98"/>
      <c r="F125" s="99"/>
    </row>
    <row r="126" spans="1:6" x14ac:dyDescent="0.2">
      <c r="A126" s="46" t="s">
        <v>156</v>
      </c>
      <c r="B126" s="272">
        <f>+B122</f>
        <v>4171557.2745593381</v>
      </c>
      <c r="C126" s="272">
        <f>+C122</f>
        <v>4933926.1360138003</v>
      </c>
      <c r="D126" s="272">
        <f>+D122</f>
        <v>4933344.3094472261</v>
      </c>
      <c r="E126" s="272">
        <f>+E122</f>
        <v>4935644.132524658</v>
      </c>
      <c r="F126" s="272">
        <f>+F122</f>
        <v>4935717.0802778117</v>
      </c>
    </row>
    <row r="127" spans="1:6" x14ac:dyDescent="0.2">
      <c r="A127" s="25" t="s">
        <v>157</v>
      </c>
      <c r="B127" s="272">
        <f>+B10+B53+B70</f>
        <v>658553.3255691391</v>
      </c>
      <c r="C127" s="272">
        <f>+C10+C53+C70</f>
        <v>658553.3255691391</v>
      </c>
      <c r="D127" s="272">
        <f>+D10+D53+D70</f>
        <v>658553.3255691391</v>
      </c>
      <c r="E127" s="272">
        <f>+E10+E53+E70</f>
        <v>654772.65890247247</v>
      </c>
      <c r="F127" s="272">
        <f>+F10+F53+F70</f>
        <v>654772.65890247247</v>
      </c>
    </row>
    <row r="128" spans="1:6" x14ac:dyDescent="0.2">
      <c r="A128" s="35" t="s">
        <v>158</v>
      </c>
      <c r="B128" s="272">
        <f>+B126+B127</f>
        <v>4830110.6001284774</v>
      </c>
      <c r="C128" s="272">
        <f>+C126+C127</f>
        <v>5592479.4615829391</v>
      </c>
      <c r="D128" s="272">
        <f>+D126+D127</f>
        <v>5591897.635016365</v>
      </c>
      <c r="E128" s="272">
        <f>+E126+E127</f>
        <v>5590416.7914271308</v>
      </c>
      <c r="F128" s="272">
        <f>+F126+F127</f>
        <v>5590489.7391802846</v>
      </c>
    </row>
    <row r="129" spans="1:6" x14ac:dyDescent="0.2">
      <c r="A129" s="25"/>
      <c r="B129" s="30"/>
      <c r="C129" s="30"/>
      <c r="D129" s="30"/>
      <c r="E129" s="30"/>
      <c r="F129" s="102"/>
    </row>
    <row r="130" spans="1:6" x14ac:dyDescent="0.2">
      <c r="A130" s="25" t="s">
        <v>159</v>
      </c>
      <c r="B130" s="28">
        <f>+B17*B19</f>
        <v>899101.70206588111</v>
      </c>
      <c r="C130" s="28">
        <f>+C17*C19</f>
        <v>918474.54881508113</v>
      </c>
      <c r="D130" s="28">
        <f>+D17*D19</f>
        <v>918474.54881508113</v>
      </c>
      <c r="E130" s="28">
        <f>+E17*E19</f>
        <v>914833.76681508112</v>
      </c>
      <c r="F130" s="28">
        <f>+F17*F19</f>
        <v>914833.76681508112</v>
      </c>
    </row>
    <row r="131" spans="1:6" x14ac:dyDescent="0.2">
      <c r="A131" s="46" t="s">
        <v>160</v>
      </c>
      <c r="B131" s="28">
        <f>+B17*B20</f>
        <v>2457814.0220400002</v>
      </c>
      <c r="C131" s="28">
        <f>+C17*C20</f>
        <v>2707818.9756000005</v>
      </c>
      <c r="D131" s="28">
        <f>+D17*D20</f>
        <v>2707818.9756000005</v>
      </c>
      <c r="E131" s="28">
        <f>+E17*E20</f>
        <v>2707818.9756000005</v>
      </c>
      <c r="F131" s="28">
        <f>+F17*F20</f>
        <v>2707818.9756000005</v>
      </c>
    </row>
    <row r="132" spans="1:6" x14ac:dyDescent="0.2">
      <c r="A132" s="25" t="s">
        <v>161</v>
      </c>
      <c r="B132" s="28">
        <f>+B61*B63</f>
        <v>0</v>
      </c>
      <c r="C132" s="28">
        <f>+C61*C63</f>
        <v>0</v>
      </c>
      <c r="D132" s="28">
        <f>+D61*D63</f>
        <v>0</v>
      </c>
      <c r="E132" s="28">
        <f>+E61*E63</f>
        <v>0</v>
      </c>
      <c r="F132" s="28">
        <f>+F61*F63</f>
        <v>0</v>
      </c>
    </row>
    <row r="133" spans="1:6" x14ac:dyDescent="0.2">
      <c r="A133" s="46" t="s">
        <v>162</v>
      </c>
      <c r="B133" s="28">
        <f>+B61*B64</f>
        <v>0</v>
      </c>
      <c r="C133" s="28">
        <f>+C61*C64</f>
        <v>0</v>
      </c>
      <c r="D133" s="28">
        <f>+D61*D64</f>
        <v>0</v>
      </c>
      <c r="E133" s="28">
        <f>+E61*E64</f>
        <v>0</v>
      </c>
      <c r="F133" s="28">
        <f>+F61*F64</f>
        <v>0</v>
      </c>
    </row>
    <row r="134" spans="1:6" x14ac:dyDescent="0.2">
      <c r="A134" s="25" t="s">
        <v>163</v>
      </c>
      <c r="B134" s="28">
        <f>+B78*B80</f>
        <v>440087.30820854893</v>
      </c>
      <c r="C134" s="28">
        <f>+C78*C80</f>
        <v>440087.30820854893</v>
      </c>
      <c r="D134" s="28">
        <f>+D78*D80</f>
        <v>440087.30820854893</v>
      </c>
      <c r="E134" s="28">
        <f>+E78*E80</f>
        <v>439885.0425418822</v>
      </c>
      <c r="F134" s="28">
        <f>+F78*F80</f>
        <v>439885.0425418822</v>
      </c>
    </row>
    <row r="135" spans="1:6" x14ac:dyDescent="0.2">
      <c r="A135" s="46" t="s">
        <v>164</v>
      </c>
      <c r="B135" s="28">
        <f>+B78*B81</f>
        <v>3946.7999999999838</v>
      </c>
      <c r="C135" s="28">
        <f>+C78*C81</f>
        <v>3946.7999999999838</v>
      </c>
      <c r="D135" s="28">
        <f>+D78*D81</f>
        <v>3946.7999999999838</v>
      </c>
      <c r="E135" s="28">
        <f>+E78*E81</f>
        <v>3946.7999999999811</v>
      </c>
      <c r="F135" s="28">
        <f>+F78*F81</f>
        <v>3946.7999999999811</v>
      </c>
    </row>
    <row r="136" spans="1:6" x14ac:dyDescent="0.2">
      <c r="A136" s="25" t="s">
        <v>165</v>
      </c>
      <c r="B136" s="28">
        <f>+B88-B131-B133-B135</f>
        <v>9460239.1779599991</v>
      </c>
      <c r="C136" s="28">
        <f>+C88-C131-C133-C135</f>
        <v>10993234.224399999</v>
      </c>
      <c r="D136" s="28">
        <f>+D88-D131-D133-D135</f>
        <v>10993234.224399999</v>
      </c>
      <c r="E136" s="28">
        <f>+E88-E131-E133-E135</f>
        <v>10993234.224399999</v>
      </c>
      <c r="F136" s="28">
        <f>+F88-F131-F133-F135</f>
        <v>10993234.224399999</v>
      </c>
    </row>
    <row r="137" spans="1:6" x14ac:dyDescent="0.2">
      <c r="A137" s="35" t="s">
        <v>166</v>
      </c>
      <c r="B137" s="273">
        <f>+(B130+B132+B134)/B136</f>
        <v>0.14155974125838244</v>
      </c>
      <c r="C137" s="273">
        <f>+(C130+C132+C134)/C136</f>
        <v>0.12358163478480594</v>
      </c>
      <c r="D137" s="273">
        <f>+(D130+D132+D134)/D136</f>
        <v>0.12358163478480594</v>
      </c>
      <c r="E137" s="273">
        <f>+(E130+E132+E134)/E136</f>
        <v>0.12323205179692263</v>
      </c>
      <c r="F137" s="273">
        <f>+(F130+F132+F134)/F136</f>
        <v>0.12323205179692263</v>
      </c>
    </row>
    <row r="138" spans="1:6" ht="15.75" x14ac:dyDescent="0.25">
      <c r="A138" s="103" t="s">
        <v>167</v>
      </c>
    </row>
    <row r="139" spans="1:6" ht="13.5" thickBot="1" x14ac:dyDescent="0.25"/>
    <row r="140" spans="1:6" ht="17.25" thickBot="1" x14ac:dyDescent="0.3">
      <c r="A140" s="406" t="s">
        <v>54</v>
      </c>
      <c r="B140" s="407"/>
      <c r="C140" s="407"/>
      <c r="D140" s="407"/>
      <c r="E140" s="408"/>
    </row>
    <row r="141" spans="1:6" ht="15" x14ac:dyDescent="0.25">
      <c r="A141" s="409" t="s">
        <v>408</v>
      </c>
      <c r="B141" s="410" t="s">
        <v>559</v>
      </c>
      <c r="C141" s="410" t="s">
        <v>560</v>
      </c>
      <c r="D141" s="410" t="s">
        <v>561</v>
      </c>
      <c r="E141" s="411" t="s">
        <v>562</v>
      </c>
    </row>
    <row r="142" spans="1:6" x14ac:dyDescent="0.2">
      <c r="A142" s="422">
        <v>0</v>
      </c>
      <c r="B142" s="425">
        <f>+$B$130+$B$132+$B$134</f>
        <v>1339189.01027443</v>
      </c>
      <c r="C142" s="371">
        <v>0</v>
      </c>
      <c r="D142" s="374">
        <f>(B142+C142)</f>
        <v>1339189.01027443</v>
      </c>
      <c r="E142" s="413">
        <v>0</v>
      </c>
    </row>
    <row r="143" spans="1:6" x14ac:dyDescent="0.2">
      <c r="A143" s="423">
        <v>1100000</v>
      </c>
      <c r="B143" s="425">
        <f t="shared" ref="B143:B158" si="2">+$B$130+$B$132+$B$134</f>
        <v>1339189.01027443</v>
      </c>
      <c r="C143" s="374">
        <f>(($B$131+$B$133+$B$135)/$B$86)*A143</f>
        <v>1135689.0220785104</v>
      </c>
      <c r="D143" s="374">
        <f t="shared" ref="D143:D158" si="3">(B143+C143)</f>
        <v>2474878.0323529402</v>
      </c>
      <c r="E143" s="415">
        <f>(A143*$B$87)</f>
        <v>5500000</v>
      </c>
    </row>
    <row r="144" spans="1:6" x14ac:dyDescent="0.2">
      <c r="A144" s="423">
        <v>1200000</v>
      </c>
      <c r="B144" s="425">
        <f t="shared" si="2"/>
        <v>1339189.01027443</v>
      </c>
      <c r="C144" s="374">
        <f t="shared" ref="C144:C158" si="4">(($B$131+$B$133+$B$135)/$B$86)*A144</f>
        <v>1238933.4786311022</v>
      </c>
      <c r="D144" s="374">
        <f t="shared" si="3"/>
        <v>2578122.4889055323</v>
      </c>
      <c r="E144" s="415">
        <f t="shared" ref="E144:E158" si="5">(A144*$B$87)</f>
        <v>6000000</v>
      </c>
    </row>
    <row r="145" spans="1:5" x14ac:dyDescent="0.2">
      <c r="A145" s="423">
        <v>1300000</v>
      </c>
      <c r="B145" s="425">
        <f t="shared" si="2"/>
        <v>1339189.01027443</v>
      </c>
      <c r="C145" s="374">
        <f t="shared" si="4"/>
        <v>1342177.9351836939</v>
      </c>
      <c r="D145" s="374">
        <f t="shared" si="3"/>
        <v>2681366.9454581239</v>
      </c>
      <c r="E145" s="415">
        <f t="shared" si="5"/>
        <v>6500000</v>
      </c>
    </row>
    <row r="146" spans="1:5" x14ac:dyDescent="0.2">
      <c r="A146" s="423">
        <v>1400000</v>
      </c>
      <c r="B146" s="425">
        <f t="shared" si="2"/>
        <v>1339189.01027443</v>
      </c>
      <c r="C146" s="374">
        <f t="shared" si="4"/>
        <v>1445422.3917362858</v>
      </c>
      <c r="D146" s="374">
        <f t="shared" si="3"/>
        <v>2784611.4020107156</v>
      </c>
      <c r="E146" s="415">
        <f t="shared" si="5"/>
        <v>7000000</v>
      </c>
    </row>
    <row r="147" spans="1:5" x14ac:dyDescent="0.2">
      <c r="A147" s="423">
        <v>1500000</v>
      </c>
      <c r="B147" s="425">
        <f t="shared" si="2"/>
        <v>1339189.01027443</v>
      </c>
      <c r="C147" s="374">
        <f t="shared" si="4"/>
        <v>1548666.8482888776</v>
      </c>
      <c r="D147" s="374">
        <f t="shared" si="3"/>
        <v>2887855.8585633077</v>
      </c>
      <c r="E147" s="415">
        <f t="shared" si="5"/>
        <v>7500000</v>
      </c>
    </row>
    <row r="148" spans="1:5" x14ac:dyDescent="0.2">
      <c r="A148" s="423">
        <v>1600000</v>
      </c>
      <c r="B148" s="425">
        <f t="shared" si="2"/>
        <v>1339189.01027443</v>
      </c>
      <c r="C148" s="374">
        <f t="shared" si="4"/>
        <v>1651911.3048414695</v>
      </c>
      <c r="D148" s="374">
        <f t="shared" si="3"/>
        <v>2991100.3151158998</v>
      </c>
      <c r="E148" s="415">
        <f t="shared" si="5"/>
        <v>8000000</v>
      </c>
    </row>
    <row r="149" spans="1:5" x14ac:dyDescent="0.2">
      <c r="A149" s="423">
        <v>1700000</v>
      </c>
      <c r="B149" s="425">
        <f t="shared" si="2"/>
        <v>1339189.01027443</v>
      </c>
      <c r="C149" s="374">
        <f t="shared" si="4"/>
        <v>1755155.7613940614</v>
      </c>
      <c r="D149" s="374">
        <f t="shared" si="3"/>
        <v>3094344.7716684914</v>
      </c>
      <c r="E149" s="415">
        <f t="shared" si="5"/>
        <v>8500000</v>
      </c>
    </row>
    <row r="150" spans="1:5" x14ac:dyDescent="0.2">
      <c r="A150" s="423">
        <v>1800000</v>
      </c>
      <c r="B150" s="425">
        <f t="shared" si="2"/>
        <v>1339189.01027443</v>
      </c>
      <c r="C150" s="374">
        <f t="shared" si="4"/>
        <v>1858400.2179466533</v>
      </c>
      <c r="D150" s="374">
        <f t="shared" si="3"/>
        <v>3197589.2282210831</v>
      </c>
      <c r="E150" s="415">
        <f t="shared" si="5"/>
        <v>9000000</v>
      </c>
    </row>
    <row r="151" spans="1:5" x14ac:dyDescent="0.2">
      <c r="A151" s="423">
        <v>1900000</v>
      </c>
      <c r="B151" s="425">
        <f t="shared" si="2"/>
        <v>1339189.01027443</v>
      </c>
      <c r="C151" s="374">
        <f t="shared" si="4"/>
        <v>1961644.6744992451</v>
      </c>
      <c r="D151" s="374">
        <f t="shared" si="3"/>
        <v>3300833.6847736752</v>
      </c>
      <c r="E151" s="415">
        <f t="shared" si="5"/>
        <v>9500000</v>
      </c>
    </row>
    <row r="152" spans="1:5" x14ac:dyDescent="0.2">
      <c r="A152" s="423">
        <v>2000000</v>
      </c>
      <c r="B152" s="425">
        <f t="shared" si="2"/>
        <v>1339189.01027443</v>
      </c>
      <c r="C152" s="374">
        <f t="shared" si="4"/>
        <v>2064889.131051837</v>
      </c>
      <c r="D152" s="374">
        <f t="shared" si="3"/>
        <v>3404078.1413262673</v>
      </c>
      <c r="E152" s="415">
        <f t="shared" si="5"/>
        <v>10000000</v>
      </c>
    </row>
    <row r="153" spans="1:5" x14ac:dyDescent="0.2">
      <c r="A153" s="423">
        <v>2100000</v>
      </c>
      <c r="B153" s="425">
        <f t="shared" si="2"/>
        <v>1339189.01027443</v>
      </c>
      <c r="C153" s="374">
        <f t="shared" si="4"/>
        <v>2168133.5876044286</v>
      </c>
      <c r="D153" s="374">
        <f t="shared" si="3"/>
        <v>3507322.5978788584</v>
      </c>
      <c r="E153" s="415">
        <f t="shared" si="5"/>
        <v>10500000</v>
      </c>
    </row>
    <row r="154" spans="1:5" x14ac:dyDescent="0.2">
      <c r="A154" s="423">
        <v>2200000</v>
      </c>
      <c r="B154" s="425">
        <f t="shared" si="2"/>
        <v>1339189.01027443</v>
      </c>
      <c r="C154" s="374">
        <f t="shared" si="4"/>
        <v>2271378.0441570207</v>
      </c>
      <c r="D154" s="374">
        <f t="shared" si="3"/>
        <v>3610567.0544314506</v>
      </c>
      <c r="E154" s="415">
        <f t="shared" si="5"/>
        <v>11000000</v>
      </c>
    </row>
    <row r="155" spans="1:5" x14ac:dyDescent="0.2">
      <c r="A155" s="423">
        <v>2300000</v>
      </c>
      <c r="B155" s="425">
        <f t="shared" si="2"/>
        <v>1339189.01027443</v>
      </c>
      <c r="C155" s="374">
        <f t="shared" si="4"/>
        <v>2374622.5007096124</v>
      </c>
      <c r="D155" s="374">
        <f t="shared" si="3"/>
        <v>3713811.5109840427</v>
      </c>
      <c r="E155" s="415">
        <f t="shared" si="5"/>
        <v>11500000</v>
      </c>
    </row>
    <row r="156" spans="1:5" x14ac:dyDescent="0.2">
      <c r="A156" s="423">
        <v>2400000</v>
      </c>
      <c r="B156" s="425">
        <f t="shared" si="2"/>
        <v>1339189.01027443</v>
      </c>
      <c r="C156" s="374">
        <f t="shared" si="4"/>
        <v>2477866.9572622045</v>
      </c>
      <c r="D156" s="374">
        <f t="shared" si="3"/>
        <v>3817055.9675366348</v>
      </c>
      <c r="E156" s="415">
        <f t="shared" si="5"/>
        <v>12000000</v>
      </c>
    </row>
    <row r="157" spans="1:5" x14ac:dyDescent="0.2">
      <c r="A157" s="423">
        <v>2500000</v>
      </c>
      <c r="B157" s="425">
        <f t="shared" si="2"/>
        <v>1339189.01027443</v>
      </c>
      <c r="C157" s="374">
        <f t="shared" si="4"/>
        <v>2581111.4138147961</v>
      </c>
      <c r="D157" s="374">
        <f t="shared" si="3"/>
        <v>3920300.4240892259</v>
      </c>
      <c r="E157" s="415">
        <f t="shared" si="5"/>
        <v>12500000</v>
      </c>
    </row>
    <row r="158" spans="1:5" ht="13.5" thickBot="1" x14ac:dyDescent="0.25">
      <c r="A158" s="424">
        <v>2600000</v>
      </c>
      <c r="B158" s="427">
        <f t="shared" si="2"/>
        <v>1339189.01027443</v>
      </c>
      <c r="C158" s="374">
        <f t="shared" si="4"/>
        <v>2684355.8703673878</v>
      </c>
      <c r="D158" s="374">
        <f t="shared" si="3"/>
        <v>4023544.880641818</v>
      </c>
      <c r="E158" s="415">
        <f t="shared" si="5"/>
        <v>13000000</v>
      </c>
    </row>
    <row r="159" spans="1:5" ht="13.5" thickBot="1" x14ac:dyDescent="0.25">
      <c r="A159" s="418" t="s">
        <v>563</v>
      </c>
      <c r="B159" s="428">
        <f>+($B$130+$B$132+$B$134)/($B$136/B86)</f>
        <v>337535.04705648706</v>
      </c>
      <c r="C159" s="429"/>
      <c r="D159" s="426" t="s">
        <v>564</v>
      </c>
      <c r="E159" s="421"/>
    </row>
    <row r="160" spans="1:5" ht="13.5" thickBot="1" x14ac:dyDescent="0.25"/>
    <row r="161" spans="1:5" ht="17.25" thickBot="1" x14ac:dyDescent="0.3">
      <c r="A161" s="406" t="s">
        <v>98</v>
      </c>
      <c r="B161" s="407" t="s">
        <v>98</v>
      </c>
      <c r="C161" s="407"/>
      <c r="D161" s="407"/>
      <c r="E161" s="408"/>
    </row>
    <row r="162" spans="1:5" ht="15" x14ac:dyDescent="0.25">
      <c r="A162" s="409" t="s">
        <v>408</v>
      </c>
      <c r="B162" s="410" t="s">
        <v>559</v>
      </c>
      <c r="C162" s="410" t="s">
        <v>560</v>
      </c>
      <c r="D162" s="410" t="s">
        <v>561</v>
      </c>
      <c r="E162" s="411" t="s">
        <v>562</v>
      </c>
    </row>
    <row r="163" spans="1:5" x14ac:dyDescent="0.2">
      <c r="A163" s="412">
        <v>0</v>
      </c>
      <c r="B163" s="419">
        <f>+$F$134+$F$132+$F$130</f>
        <v>1354718.8093569633</v>
      </c>
      <c r="C163" s="417">
        <v>0</v>
      </c>
      <c r="D163" s="374">
        <f>(B163+C163)</f>
        <v>1354718.8093569633</v>
      </c>
      <c r="E163" s="420">
        <v>0</v>
      </c>
    </row>
    <row r="164" spans="1:5" x14ac:dyDescent="0.2">
      <c r="A164" s="414">
        <v>1100000</v>
      </c>
      <c r="B164" s="419">
        <f t="shared" ref="B164:B179" si="6">+$F$134+$F$132+$F$130</f>
        <v>1354718.8093569633</v>
      </c>
      <c r="C164" s="374">
        <f>+((($F$135+$F$133+$F$131)/$F$86)*A164)</f>
        <v>1088267.9143232398</v>
      </c>
      <c r="D164" s="374">
        <f t="shared" ref="D164:D179" si="7">(B164+C164)</f>
        <v>2442986.7236802028</v>
      </c>
      <c r="E164" s="415">
        <f>(A164*$F$87)</f>
        <v>5500000</v>
      </c>
    </row>
    <row r="165" spans="1:5" x14ac:dyDescent="0.2">
      <c r="A165" s="414">
        <v>1200000</v>
      </c>
      <c r="B165" s="419">
        <f t="shared" si="6"/>
        <v>1354718.8093569633</v>
      </c>
      <c r="C165" s="374">
        <f t="shared" ref="C165:C179" si="8">+((($F$135+$F$133+$F$131)/$F$86)*A165)</f>
        <v>1187201.361079898</v>
      </c>
      <c r="D165" s="374">
        <f t="shared" si="7"/>
        <v>2541920.170436861</v>
      </c>
      <c r="E165" s="415">
        <f t="shared" ref="E165:E179" si="9">(A165*$F$87)</f>
        <v>6000000</v>
      </c>
    </row>
    <row r="166" spans="1:5" x14ac:dyDescent="0.2">
      <c r="A166" s="414">
        <v>1300000</v>
      </c>
      <c r="B166" s="419">
        <f t="shared" si="6"/>
        <v>1354718.8093569633</v>
      </c>
      <c r="C166" s="374">
        <f t="shared" si="8"/>
        <v>1286134.8078365561</v>
      </c>
      <c r="D166" s="374">
        <f t="shared" si="7"/>
        <v>2640853.6171935191</v>
      </c>
      <c r="E166" s="415">
        <f t="shared" si="9"/>
        <v>6500000</v>
      </c>
    </row>
    <row r="167" spans="1:5" x14ac:dyDescent="0.2">
      <c r="A167" s="414">
        <v>1400000</v>
      </c>
      <c r="B167" s="419">
        <f t="shared" si="6"/>
        <v>1354718.8093569633</v>
      </c>
      <c r="C167" s="374">
        <f t="shared" si="8"/>
        <v>1385068.2545932143</v>
      </c>
      <c r="D167" s="374">
        <f t="shared" si="7"/>
        <v>2739787.0639501773</v>
      </c>
      <c r="E167" s="415">
        <f t="shared" si="9"/>
        <v>7000000</v>
      </c>
    </row>
    <row r="168" spans="1:5" x14ac:dyDescent="0.2">
      <c r="A168" s="414">
        <v>1500000</v>
      </c>
      <c r="B168" s="419">
        <f t="shared" si="6"/>
        <v>1354718.8093569633</v>
      </c>
      <c r="C168" s="374">
        <f t="shared" si="8"/>
        <v>1484001.7013498724</v>
      </c>
      <c r="D168" s="374">
        <f t="shared" si="7"/>
        <v>2838720.5107068354</v>
      </c>
      <c r="E168" s="415">
        <f t="shared" si="9"/>
        <v>7500000</v>
      </c>
    </row>
    <row r="169" spans="1:5" x14ac:dyDescent="0.2">
      <c r="A169" s="414">
        <v>1600000</v>
      </c>
      <c r="B169" s="419">
        <f t="shared" si="6"/>
        <v>1354718.8093569633</v>
      </c>
      <c r="C169" s="374">
        <f t="shared" si="8"/>
        <v>1582935.1481065305</v>
      </c>
      <c r="D169" s="374">
        <f t="shared" si="7"/>
        <v>2937653.9574634936</v>
      </c>
      <c r="E169" s="415">
        <f t="shared" si="9"/>
        <v>8000000</v>
      </c>
    </row>
    <row r="170" spans="1:5" x14ac:dyDescent="0.2">
      <c r="A170" s="414">
        <v>1700000</v>
      </c>
      <c r="B170" s="419">
        <f t="shared" si="6"/>
        <v>1354718.8093569633</v>
      </c>
      <c r="C170" s="374">
        <f t="shared" si="8"/>
        <v>1681868.5948631887</v>
      </c>
      <c r="D170" s="374">
        <f t="shared" si="7"/>
        <v>3036587.4042201517</v>
      </c>
      <c r="E170" s="415">
        <f t="shared" si="9"/>
        <v>8500000</v>
      </c>
    </row>
    <row r="171" spans="1:5" x14ac:dyDescent="0.2">
      <c r="A171" s="414">
        <v>1800000</v>
      </c>
      <c r="B171" s="419">
        <f t="shared" si="6"/>
        <v>1354718.8093569633</v>
      </c>
      <c r="C171" s="374">
        <f t="shared" si="8"/>
        <v>1780802.0416198468</v>
      </c>
      <c r="D171" s="374">
        <f t="shared" si="7"/>
        <v>3135520.8509768099</v>
      </c>
      <c r="E171" s="415">
        <f t="shared" si="9"/>
        <v>9000000</v>
      </c>
    </row>
    <row r="172" spans="1:5" x14ac:dyDescent="0.2">
      <c r="A172" s="414">
        <v>1900000</v>
      </c>
      <c r="B172" s="419">
        <f t="shared" si="6"/>
        <v>1354718.8093569633</v>
      </c>
      <c r="C172" s="374">
        <f t="shared" si="8"/>
        <v>1879735.488376505</v>
      </c>
      <c r="D172" s="374">
        <f t="shared" si="7"/>
        <v>3234454.297733468</v>
      </c>
      <c r="E172" s="415">
        <f t="shared" si="9"/>
        <v>9500000</v>
      </c>
    </row>
    <row r="173" spans="1:5" x14ac:dyDescent="0.2">
      <c r="A173" s="414">
        <v>2000000</v>
      </c>
      <c r="B173" s="419">
        <f t="shared" si="6"/>
        <v>1354718.8093569633</v>
      </c>
      <c r="C173" s="374">
        <f t="shared" si="8"/>
        <v>1978668.9351331631</v>
      </c>
      <c r="D173" s="374">
        <f t="shared" si="7"/>
        <v>3333387.7444901261</v>
      </c>
      <c r="E173" s="415">
        <f t="shared" si="9"/>
        <v>10000000</v>
      </c>
    </row>
    <row r="174" spans="1:5" x14ac:dyDescent="0.2">
      <c r="A174" s="414">
        <v>2100000</v>
      </c>
      <c r="B174" s="419">
        <f t="shared" si="6"/>
        <v>1354718.8093569633</v>
      </c>
      <c r="C174" s="374">
        <f t="shared" si="8"/>
        <v>2077602.3818898215</v>
      </c>
      <c r="D174" s="374">
        <f t="shared" si="7"/>
        <v>3432321.1912467848</v>
      </c>
      <c r="E174" s="415">
        <f t="shared" si="9"/>
        <v>10500000</v>
      </c>
    </row>
    <row r="175" spans="1:5" x14ac:dyDescent="0.2">
      <c r="A175" s="414">
        <v>2200000</v>
      </c>
      <c r="B175" s="419">
        <f t="shared" si="6"/>
        <v>1354718.8093569633</v>
      </c>
      <c r="C175" s="374">
        <f t="shared" si="8"/>
        <v>2176535.8286464796</v>
      </c>
      <c r="D175" s="374">
        <f t="shared" si="7"/>
        <v>3531254.6380034429</v>
      </c>
      <c r="E175" s="415">
        <f t="shared" si="9"/>
        <v>11000000</v>
      </c>
    </row>
    <row r="176" spans="1:5" x14ac:dyDescent="0.2">
      <c r="A176" s="414">
        <v>2300000</v>
      </c>
      <c r="B176" s="419">
        <f t="shared" si="6"/>
        <v>1354718.8093569633</v>
      </c>
      <c r="C176" s="374">
        <f t="shared" si="8"/>
        <v>2275469.2754031378</v>
      </c>
      <c r="D176" s="374">
        <f t="shared" si="7"/>
        <v>3630188.084760101</v>
      </c>
      <c r="E176" s="415">
        <f t="shared" si="9"/>
        <v>11500000</v>
      </c>
    </row>
    <row r="177" spans="1:5" x14ac:dyDescent="0.2">
      <c r="A177" s="414">
        <v>2400000</v>
      </c>
      <c r="B177" s="419">
        <f t="shared" si="6"/>
        <v>1354718.8093569633</v>
      </c>
      <c r="C177" s="374">
        <f t="shared" si="8"/>
        <v>2374402.7221597959</v>
      </c>
      <c r="D177" s="374">
        <f t="shared" si="7"/>
        <v>3729121.5315167592</v>
      </c>
      <c r="E177" s="415">
        <f t="shared" si="9"/>
        <v>12000000</v>
      </c>
    </row>
    <row r="178" spans="1:5" x14ac:dyDescent="0.2">
      <c r="A178" s="414">
        <v>2500000</v>
      </c>
      <c r="B178" s="419">
        <f t="shared" si="6"/>
        <v>1354718.8093569633</v>
      </c>
      <c r="C178" s="374">
        <f t="shared" si="8"/>
        <v>2473336.1689164541</v>
      </c>
      <c r="D178" s="374">
        <f t="shared" si="7"/>
        <v>3828054.9782734173</v>
      </c>
      <c r="E178" s="415">
        <f t="shared" si="9"/>
        <v>12500000</v>
      </c>
    </row>
    <row r="179" spans="1:5" ht="13.5" thickBot="1" x14ac:dyDescent="0.25">
      <c r="A179" s="416">
        <v>2600000</v>
      </c>
      <c r="B179" s="433">
        <f t="shared" si="6"/>
        <v>1354718.8093569633</v>
      </c>
      <c r="C179" s="374">
        <f t="shared" si="8"/>
        <v>2572269.6156731122</v>
      </c>
      <c r="D179" s="374">
        <f t="shared" si="7"/>
        <v>3926988.4250300755</v>
      </c>
      <c r="E179" s="415">
        <f t="shared" si="9"/>
        <v>13000000</v>
      </c>
    </row>
    <row r="180" spans="1:5" ht="13.5" thickBot="1" x14ac:dyDescent="0.25">
      <c r="A180" s="418" t="s">
        <v>563</v>
      </c>
      <c r="B180" s="434">
        <f>(($F$130+$F$132+$F$134)/(F87-((F131+F133+F135)/F101)))</f>
        <v>337779.05397536489</v>
      </c>
      <c r="C180" s="430" t="s">
        <v>564</v>
      </c>
      <c r="D180" s="431"/>
      <c r="E180" s="432"/>
    </row>
  </sheetData>
  <sheetProtection selectLockedCells="1" selectUnlockedCells="1"/>
  <mergeCells count="3">
    <mergeCell ref="A140:E140"/>
    <mergeCell ref="B159:C159"/>
    <mergeCell ref="A161:E161"/>
  </mergeCells>
  <pageMargins left="0.32013888888888886" right="0.75" top="0.17986111111111111" bottom="0.15972222222222221" header="0.51180555555555551" footer="0.51180555555555551"/>
  <pageSetup paperSize="9" firstPageNumber="0" fitToHeight="4" orientation="landscape" horizontalDpi="300" verticalDpi="300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6"/>
  <sheetViews>
    <sheetView zoomScale="90" zoomScaleNormal="90" workbookViewId="0">
      <selection activeCell="I18" sqref="I18"/>
    </sheetView>
  </sheetViews>
  <sheetFormatPr baseColWidth="10" defaultRowHeight="12.75" x14ac:dyDescent="0.2"/>
  <cols>
    <col min="1" max="1" width="45.42578125" style="16" customWidth="1"/>
    <col min="2" max="7" width="14.85546875" style="16" customWidth="1"/>
    <col min="8" max="8" width="17.42578125" style="16" customWidth="1"/>
    <col min="9" max="16384" width="11.42578125" style="16"/>
  </cols>
  <sheetData>
    <row r="1" spans="1:7" x14ac:dyDescent="0.2">
      <c r="A1" s="1" t="s">
        <v>0</v>
      </c>
      <c r="B1"/>
      <c r="C1"/>
      <c r="D1"/>
      <c r="E1" s="2">
        <f>InfoInicial!E1</f>
        <v>8</v>
      </c>
    </row>
    <row r="2" spans="1:7" x14ac:dyDescent="0.2">
      <c r="A2" s="1"/>
      <c r="B2"/>
      <c r="C2"/>
      <c r="D2"/>
      <c r="E2" s="104"/>
    </row>
    <row r="3" spans="1:7" ht="15.75" x14ac:dyDescent="0.25">
      <c r="A3" s="56" t="s">
        <v>168</v>
      </c>
      <c r="B3" s="57"/>
      <c r="C3" s="57"/>
      <c r="D3" s="57"/>
      <c r="E3" s="57"/>
      <c r="F3" s="57"/>
      <c r="G3" s="58"/>
    </row>
    <row r="4" spans="1:7" x14ac:dyDescent="0.2">
      <c r="A4" s="59" t="s">
        <v>94</v>
      </c>
      <c r="B4" s="21" t="s">
        <v>53</v>
      </c>
      <c r="C4" s="21" t="s">
        <v>54</v>
      </c>
      <c r="D4" s="21" t="s">
        <v>95</v>
      </c>
      <c r="E4" s="21" t="s">
        <v>96</v>
      </c>
      <c r="F4" s="21" t="s">
        <v>97</v>
      </c>
      <c r="G4" s="22" t="s">
        <v>98</v>
      </c>
    </row>
    <row r="5" spans="1:7" x14ac:dyDescent="0.2">
      <c r="A5" s="105" t="s">
        <v>169</v>
      </c>
      <c r="B5" s="106"/>
      <c r="C5" s="106"/>
      <c r="D5" s="106"/>
      <c r="E5" s="106"/>
      <c r="F5" s="106"/>
      <c r="G5" s="107"/>
    </row>
    <row r="6" spans="1:7" x14ac:dyDescent="0.2">
      <c r="A6" s="105" t="s">
        <v>170</v>
      </c>
      <c r="B6" s="64">
        <f>+C6*0.8</f>
        <v>190752</v>
      </c>
      <c r="C6" s="64">
        <f>+'E-Costos'!B88*0.02</f>
        <v>238440</v>
      </c>
      <c r="D6" s="64">
        <f>+'E-Costos'!C88*0.02</f>
        <v>274100</v>
      </c>
      <c r="E6" s="64">
        <f>+'E-Costos'!D88*0.02</f>
        <v>274100</v>
      </c>
      <c r="F6" s="64">
        <f>+'E-Costos'!E88*0.02</f>
        <v>274100</v>
      </c>
      <c r="G6" s="64">
        <f>+'E-Costos'!F88*0.02</f>
        <v>274100</v>
      </c>
    </row>
    <row r="7" spans="1:7" x14ac:dyDescent="0.2">
      <c r="A7" s="105" t="s">
        <v>171</v>
      </c>
      <c r="B7" s="64">
        <v>0</v>
      </c>
      <c r="C7" s="64">
        <f>+'E-Costos'!$C$88*0.0821917808219178</f>
        <v>1126438.3561643835</v>
      </c>
      <c r="D7" s="64">
        <f>+'E-Costos'!$C$88*0.0821917808219178</f>
        <v>1126438.3561643835</v>
      </c>
      <c r="E7" s="64">
        <f>+'E-Costos'!$C$88*0.0821917808219178</f>
        <v>1126438.3561643835</v>
      </c>
      <c r="F7" s="64">
        <f>+'E-Costos'!$C$88*0.0821917808219178</f>
        <v>1126438.3561643835</v>
      </c>
      <c r="G7" s="64">
        <f>+'E-Costos'!$C$88*0.0821917808219178</f>
        <v>1126438.3561643835</v>
      </c>
    </row>
    <row r="8" spans="1:7" x14ac:dyDescent="0.2">
      <c r="A8" s="108"/>
      <c r="B8" s="85"/>
      <c r="C8" s="85"/>
      <c r="D8" s="85"/>
      <c r="E8" s="85"/>
      <c r="F8" s="85"/>
      <c r="G8" s="86"/>
    </row>
    <row r="9" spans="1:7" x14ac:dyDescent="0.2">
      <c r="A9" s="105" t="s">
        <v>172</v>
      </c>
      <c r="B9" s="96">
        <f t="shared" ref="B9:G9" si="0">+SUM(B10:B13)</f>
        <v>354543.9005410652</v>
      </c>
      <c r="C9" s="96">
        <f t="shared" si="0"/>
        <v>519473.13921389123</v>
      </c>
      <c r="D9" s="96">
        <f t="shared" si="0"/>
        <v>544332.89169904892</v>
      </c>
      <c r="E9" s="96">
        <f t="shared" si="0"/>
        <v>544321.82816751103</v>
      </c>
      <c r="F9" s="96">
        <f t="shared" si="0"/>
        <v>544186.36980922648</v>
      </c>
      <c r="G9" s="96">
        <f t="shared" si="0"/>
        <v>544186.01145817793</v>
      </c>
    </row>
    <row r="10" spans="1:7" x14ac:dyDescent="0.2">
      <c r="A10" s="108" t="s">
        <v>173</v>
      </c>
      <c r="B10" s="64">
        <f>+Datos!$H$36*Datos!B102</f>
        <v>135907.20000000001</v>
      </c>
      <c r="C10" s="64">
        <f>+Datos!$H$36*Datos!$B$103</f>
        <v>137057.18400000001</v>
      </c>
      <c r="D10" s="64">
        <f>+Datos!$H$36*Datos!$B$103</f>
        <v>137057.18400000001</v>
      </c>
      <c r="E10" s="64">
        <f>+Datos!$H$36*Datos!$B$103</f>
        <v>137057.18400000001</v>
      </c>
      <c r="F10" s="64">
        <f>+Datos!$H$36*Datos!$B$103</f>
        <v>137057.18400000001</v>
      </c>
      <c r="G10" s="64">
        <f>+Datos!$H$36*Datos!$B$103</f>
        <v>137057.18400000001</v>
      </c>
    </row>
    <row r="11" spans="1:7" x14ac:dyDescent="0.2">
      <c r="A11" s="108" t="s">
        <v>174</v>
      </c>
      <c r="B11" s="64">
        <f>+C11*0.9</f>
        <v>218636.70054106519</v>
      </c>
      <c r="C11" s="64">
        <f>+'E-Costos'!B12+'E-Costos'!B30+'E-Costos'!B54+'E-Costos'!B71</f>
        <v>242929.66726785022</v>
      </c>
      <c r="D11" s="64">
        <f>+'E-Costos'!C12+'E-Costos'!C30+'E-Costos'!C54+'E-Costos'!C71</f>
        <v>267127.08420279139</v>
      </c>
      <c r="E11" s="64">
        <f>+'E-Costos'!D12+'E-Costos'!D30+'E-Costos'!D54+'E-Costos'!D71</f>
        <v>267127.08420279139</v>
      </c>
      <c r="F11" s="64">
        <f>+'E-Costos'!E12+'E-Costos'!E30+'E-Costos'!E54+'E-Costos'!E71</f>
        <v>267127.08420279139</v>
      </c>
      <c r="G11" s="64">
        <f>+'E-Costos'!F12+'E-Costos'!F30+'E-Costos'!F54+'E-Costos'!F71</f>
        <v>267127.08420279139</v>
      </c>
    </row>
    <row r="12" spans="1:7" x14ac:dyDescent="0.2">
      <c r="A12" s="108" t="s">
        <v>175</v>
      </c>
      <c r="B12" s="64">
        <v>0</v>
      </c>
      <c r="C12" s="64">
        <f>+'E-Costos'!B35</f>
        <v>15544.103491820802</v>
      </c>
      <c r="D12" s="64">
        <f>+'E-Costos'!C35</f>
        <v>15222.927246095949</v>
      </c>
      <c r="E12" s="64">
        <f>+'E-Costos'!D35</f>
        <v>15222.927246095949</v>
      </c>
      <c r="F12" s="64">
        <f>+'E-Costos'!E35</f>
        <v>15212.524252800071</v>
      </c>
      <c r="G12" s="64">
        <f>+'E-Costos'!F35</f>
        <v>15212.524252800071</v>
      </c>
    </row>
    <row r="13" spans="1:7" x14ac:dyDescent="0.2">
      <c r="A13" s="108" t="s">
        <v>176</v>
      </c>
      <c r="B13" s="64">
        <v>0</v>
      </c>
      <c r="C13" s="64">
        <f>+'E-Costos'!B106</f>
        <v>123942.18445422017</v>
      </c>
      <c r="D13" s="64">
        <f>+'E-Costos'!C106</f>
        <v>124925.69625016151</v>
      </c>
      <c r="E13" s="64">
        <f>+'E-Costos'!D106</f>
        <v>124914.6327186237</v>
      </c>
      <c r="F13" s="64">
        <f>+'E-Costos'!E106</f>
        <v>124789.57735363502</v>
      </c>
      <c r="G13" s="64">
        <f>+'E-Costos'!F106</f>
        <v>124789.21900258648</v>
      </c>
    </row>
    <row r="14" spans="1:7" x14ac:dyDescent="0.2">
      <c r="A14" s="108"/>
      <c r="B14" s="85"/>
      <c r="C14" s="85"/>
      <c r="D14" s="85"/>
      <c r="E14" s="85"/>
      <c r="F14" s="85"/>
      <c r="G14" s="86"/>
    </row>
    <row r="15" spans="1:7" x14ac:dyDescent="0.2">
      <c r="A15" s="105" t="s">
        <v>177</v>
      </c>
      <c r="B15" s="64">
        <f t="shared" ref="B15:G15" si="1">+SUM(B6:B9)</f>
        <v>545295.90054106526</v>
      </c>
      <c r="C15" s="64">
        <f t="shared" si="1"/>
        <v>1884351.4953782747</v>
      </c>
      <c r="D15" s="64">
        <f t="shared" si="1"/>
        <v>1944871.2478634324</v>
      </c>
      <c r="E15" s="64">
        <f t="shared" si="1"/>
        <v>1944860.1843318944</v>
      </c>
      <c r="F15" s="64">
        <f t="shared" si="1"/>
        <v>1944724.7259736098</v>
      </c>
      <c r="G15" s="64">
        <f t="shared" si="1"/>
        <v>1944724.3676225613</v>
      </c>
    </row>
    <row r="16" spans="1:7" x14ac:dyDescent="0.2">
      <c r="A16" s="105" t="s">
        <v>178</v>
      </c>
      <c r="B16" s="85">
        <f t="shared" ref="B16:G16" si="2">+SUM(B17:B20)</f>
        <v>0</v>
      </c>
      <c r="C16" s="85">
        <f t="shared" si="2"/>
        <v>450079.71936676931</v>
      </c>
      <c r="D16" s="85">
        <f t="shared" si="2"/>
        <v>461391.77089264366</v>
      </c>
      <c r="E16" s="85">
        <f t="shared" si="2"/>
        <v>461323.13283159456</v>
      </c>
      <c r="F16" s="85">
        <f t="shared" si="2"/>
        <v>461192.38273097767</v>
      </c>
      <c r="G16" s="85">
        <f t="shared" si="2"/>
        <v>461197.56915950152</v>
      </c>
    </row>
    <row r="17" spans="1:7" x14ac:dyDescent="0.2">
      <c r="A17" s="108" t="s">
        <v>179</v>
      </c>
      <c r="B17" s="64">
        <v>0</v>
      </c>
      <c r="C17" s="64">
        <f>+'E-Costos'!B28</f>
        <v>1946.8254828349893</v>
      </c>
      <c r="D17" s="64">
        <f>+'E-Costos'!C28</f>
        <v>1693.5463995883797</v>
      </c>
      <c r="E17" s="64">
        <f>+'E-Costos'!D28</f>
        <v>1693.5463995883797</v>
      </c>
      <c r="F17" s="64">
        <f>+'E-Costos'!E28</f>
        <v>1683.8239759473729</v>
      </c>
      <c r="G17" s="64">
        <f>+'E-Costos'!F28</f>
        <v>1683.8239759473729</v>
      </c>
    </row>
    <row r="18" spans="1:7" x14ac:dyDescent="0.2">
      <c r="A18" s="108" t="s">
        <v>180</v>
      </c>
      <c r="B18" s="64">
        <v>0</v>
      </c>
      <c r="C18" s="350">
        <f>+('E-Costos'!B10-'E-Costos'!B28)/Datos!$B$81</f>
        <v>21.552395750798624</v>
      </c>
      <c r="D18" s="350">
        <f>+('E-Costos'!C10-'E-Costos'!C28)/Datos!$B$81</f>
        <v>21.561636140555887</v>
      </c>
      <c r="E18" s="350">
        <f>+('E-Costos'!D10-'E-Costos'!D28)/Datos!$B$81</f>
        <v>21.561636140555887</v>
      </c>
      <c r="F18" s="350">
        <f>+('E-Costos'!E10-'E-Costos'!E28)/Datos!$B$81</f>
        <v>21.437853667868588</v>
      </c>
      <c r="G18" s="350">
        <f>+('E-Costos'!F10-'E-Costos'!F28)/Datos!$B$81</f>
        <v>21.437853667868588</v>
      </c>
    </row>
    <row r="19" spans="1:7" x14ac:dyDescent="0.2">
      <c r="A19" s="108" t="s">
        <v>181</v>
      </c>
      <c r="B19" s="64">
        <v>0</v>
      </c>
      <c r="C19" s="64">
        <f>+'E-Costos'!B123*'E-InvAT'!C7</f>
        <v>394145.45537663117</v>
      </c>
      <c r="D19" s="64">
        <f>+'E-Costos'!C123*'E-InvAT'!D7</f>
        <v>405528.17556277808</v>
      </c>
      <c r="E19" s="64">
        <f>+'E-Costos'!D123*'E-InvAT'!E7</f>
        <v>405480.35420114186</v>
      </c>
      <c r="F19" s="64">
        <f>+'E-Costos'!E123*'E-InvAT'!F7</f>
        <v>405669.38075545128</v>
      </c>
      <c r="G19" s="64">
        <f>+'E-Costos'!F123*'E-InvAT'!G7</f>
        <v>405675.37646118994</v>
      </c>
    </row>
    <row r="20" spans="1:7" x14ac:dyDescent="0.2">
      <c r="A20" s="108" t="s">
        <v>182</v>
      </c>
      <c r="B20" s="349"/>
      <c r="C20" s="349">
        <f>('E-Inv AF y Am'!D56 - $C$17 -$C$18)*30/365</f>
        <v>53965.886111552332</v>
      </c>
      <c r="D20" s="349">
        <f>('E-Inv AF y Am'!D56 - $D$17 -$D$18 + $C$17 + $C$18)*30/365</f>
        <v>54148.487294136648</v>
      </c>
      <c r="E20" s="360">
        <f>('E-Inv AF y Am'!D56-$E$17-$E$18+$D$17+$D$18)*30/365</f>
        <v>54127.670594723757</v>
      </c>
      <c r="F20" s="349">
        <f>('E-Inv AF y Am'!E56 - $F$17 -$F$18 + $E$17 + $E$18)/365*30</f>
        <v>53817.740145911186</v>
      </c>
      <c r="G20" s="349">
        <f>('E-Inv AF y Am'!E56 - $G$17 -$G$18 + $F$17 + $F$18)/365*30</f>
        <v>53816.93086869637</v>
      </c>
    </row>
    <row r="21" spans="1:7" x14ac:dyDescent="0.2">
      <c r="A21" s="108"/>
      <c r="B21" s="85"/>
      <c r="C21" s="85"/>
      <c r="D21" s="85"/>
      <c r="E21" s="85"/>
      <c r="F21" s="85"/>
      <c r="G21" s="86"/>
    </row>
    <row r="22" spans="1:7" x14ac:dyDescent="0.2">
      <c r="A22" s="105" t="s">
        <v>183</v>
      </c>
      <c r="B22" s="64">
        <f t="shared" ref="B22:G22" si="3">+B15-B16</f>
        <v>545295.90054106526</v>
      </c>
      <c r="C22" s="64">
        <f t="shared" si="3"/>
        <v>1434271.7760115054</v>
      </c>
      <c r="D22" s="64">
        <f t="shared" si="3"/>
        <v>1483479.4769707888</v>
      </c>
      <c r="E22" s="64">
        <f t="shared" si="3"/>
        <v>1483537.0515002999</v>
      </c>
      <c r="F22" s="64">
        <f t="shared" si="3"/>
        <v>1483532.3432426322</v>
      </c>
      <c r="G22" s="64">
        <f t="shared" si="3"/>
        <v>1483526.7984630598</v>
      </c>
    </row>
    <row r="23" spans="1:7" x14ac:dyDescent="0.2">
      <c r="A23" s="108"/>
      <c r="B23" s="85"/>
      <c r="C23" s="85"/>
      <c r="D23" s="85"/>
      <c r="E23" s="85"/>
      <c r="F23" s="85"/>
      <c r="G23" s="86"/>
    </row>
    <row r="24" spans="1:7" x14ac:dyDescent="0.2">
      <c r="A24" s="105" t="s">
        <v>184</v>
      </c>
      <c r="B24" s="64">
        <f>+B15</f>
        <v>545295.90054106526</v>
      </c>
      <c r="C24" s="64">
        <f>+C15-B15</f>
        <v>1339055.5948372094</v>
      </c>
      <c r="D24" s="64">
        <f>+D15-C15</f>
        <v>60519.752485157689</v>
      </c>
      <c r="E24" s="64">
        <f>+E15-D15</f>
        <v>-11.063531538005918</v>
      </c>
      <c r="F24" s="64">
        <f>+F15-E15</f>
        <v>-135.45835828455165</v>
      </c>
      <c r="G24" s="64">
        <f>+G15-F15</f>
        <v>-0.35835104854777455</v>
      </c>
    </row>
    <row r="25" spans="1:7" x14ac:dyDescent="0.2">
      <c r="A25" s="105" t="s">
        <v>185</v>
      </c>
      <c r="B25" s="64">
        <f>+B22</f>
        <v>545295.90054106526</v>
      </c>
      <c r="C25" s="64">
        <f>+C22-B22</f>
        <v>888975.87547044014</v>
      </c>
      <c r="D25" s="64">
        <f>+D22-C22</f>
        <v>49207.700959283393</v>
      </c>
      <c r="E25" s="64">
        <f>+E22-D22</f>
        <v>57.574529511155561</v>
      </c>
      <c r="F25" s="64">
        <f>+F22-E22</f>
        <v>-4.7082576677203178</v>
      </c>
      <c r="G25" s="64">
        <f>+G22-F22</f>
        <v>-5.5447795724030584</v>
      </c>
    </row>
    <row r="26" spans="1:7" x14ac:dyDescent="0.2">
      <c r="A26" s="108"/>
      <c r="B26" s="85"/>
      <c r="C26" s="85"/>
      <c r="D26" s="85"/>
      <c r="E26" s="85"/>
      <c r="F26" s="85"/>
      <c r="G26" s="86"/>
    </row>
    <row r="27" spans="1:7" x14ac:dyDescent="0.2">
      <c r="A27" s="105" t="s">
        <v>186</v>
      </c>
      <c r="B27" s="85"/>
      <c r="C27" s="85"/>
      <c r="D27" s="85"/>
      <c r="E27" s="85"/>
      <c r="F27" s="85"/>
      <c r="G27" s="86"/>
    </row>
    <row r="28" spans="1:7" x14ac:dyDescent="0.2">
      <c r="A28" s="108" t="s">
        <v>187</v>
      </c>
      <c r="B28" s="64"/>
      <c r="C28" s="64"/>
      <c r="D28" s="64"/>
      <c r="E28" s="64"/>
      <c r="F28" s="64"/>
      <c r="G28" s="65"/>
    </row>
    <row r="29" spans="1:7" x14ac:dyDescent="0.2">
      <c r="A29" s="108" t="s">
        <v>188</v>
      </c>
      <c r="B29" s="64"/>
      <c r="C29" s="64"/>
      <c r="D29" s="64"/>
      <c r="E29" s="64"/>
      <c r="F29" s="64"/>
      <c r="G29" s="65"/>
    </row>
    <row r="30" spans="1:7" x14ac:dyDescent="0.2">
      <c r="A30" s="108" t="s">
        <v>189</v>
      </c>
      <c r="B30" s="64">
        <f t="shared" ref="B30:G33" si="4">+B10*0.21</f>
        <v>28540.512000000002</v>
      </c>
      <c r="C30" s="64">
        <f t="shared" si="4"/>
        <v>28782.00864</v>
      </c>
      <c r="D30" s="64">
        <f t="shared" si="4"/>
        <v>28782.00864</v>
      </c>
      <c r="E30" s="64">
        <f t="shared" si="4"/>
        <v>28782.00864</v>
      </c>
      <c r="F30" s="64">
        <f t="shared" si="4"/>
        <v>28782.00864</v>
      </c>
      <c r="G30" s="64">
        <f t="shared" si="4"/>
        <v>28782.00864</v>
      </c>
    </row>
    <row r="31" spans="1:7" x14ac:dyDescent="0.2">
      <c r="A31" s="108" t="s">
        <v>190</v>
      </c>
      <c r="B31" s="64">
        <f t="shared" si="4"/>
        <v>45913.707113623692</v>
      </c>
      <c r="C31" s="64">
        <f t="shared" si="4"/>
        <v>51015.230126248542</v>
      </c>
      <c r="D31" s="64">
        <f t="shared" si="4"/>
        <v>56096.687682586191</v>
      </c>
      <c r="E31" s="64">
        <f t="shared" si="4"/>
        <v>56096.687682586191</v>
      </c>
      <c r="F31" s="64">
        <f t="shared" si="4"/>
        <v>56096.687682586191</v>
      </c>
      <c r="G31" s="64">
        <f t="shared" si="4"/>
        <v>56096.687682586191</v>
      </c>
    </row>
    <row r="32" spans="1:7" x14ac:dyDescent="0.2">
      <c r="A32" s="108" t="s">
        <v>191</v>
      </c>
      <c r="B32" s="64">
        <f t="shared" si="4"/>
        <v>0</v>
      </c>
      <c r="C32" s="64">
        <f t="shared" si="4"/>
        <v>3264.2617332823684</v>
      </c>
      <c r="D32" s="64">
        <f t="shared" si="4"/>
        <v>3196.814721680149</v>
      </c>
      <c r="E32" s="64">
        <f t="shared" si="4"/>
        <v>3196.814721680149</v>
      </c>
      <c r="F32" s="64">
        <f t="shared" si="4"/>
        <v>3194.6300930880147</v>
      </c>
      <c r="G32" s="64">
        <f t="shared" si="4"/>
        <v>3194.6300930880147</v>
      </c>
    </row>
    <row r="33" spans="1:7" x14ac:dyDescent="0.2">
      <c r="A33" s="108" t="s">
        <v>192</v>
      </c>
      <c r="B33" s="64">
        <f t="shared" si="4"/>
        <v>0</v>
      </c>
      <c r="C33" s="64">
        <f t="shared" si="4"/>
        <v>26027.858735386235</v>
      </c>
      <c r="D33" s="64">
        <f t="shared" si="4"/>
        <v>26234.396212533917</v>
      </c>
      <c r="E33" s="64">
        <f t="shared" si="4"/>
        <v>26232.072870910975</v>
      </c>
      <c r="F33" s="64">
        <f t="shared" si="4"/>
        <v>26205.811244263354</v>
      </c>
      <c r="G33" s="64">
        <f t="shared" si="4"/>
        <v>26205.735990543162</v>
      </c>
    </row>
    <row r="34" spans="1:7" x14ac:dyDescent="0.2">
      <c r="A34" s="105" t="s">
        <v>193</v>
      </c>
      <c r="B34" s="64">
        <f t="shared" ref="B34:G34" si="5">+SUM(B30:B33)</f>
        <v>74454.219113623694</v>
      </c>
      <c r="C34" s="64">
        <f t="shared" si="5"/>
        <v>109089.35923491715</v>
      </c>
      <c r="D34" s="64">
        <f t="shared" si="5"/>
        <v>114309.90725680024</v>
      </c>
      <c r="E34" s="64">
        <f t="shared" si="5"/>
        <v>114307.5839151773</v>
      </c>
      <c r="F34" s="64">
        <f t="shared" si="5"/>
        <v>114279.13765993755</v>
      </c>
      <c r="G34" s="64">
        <f t="shared" si="5"/>
        <v>114279.06240621736</v>
      </c>
    </row>
    <row r="35" spans="1:7" x14ac:dyDescent="0.2">
      <c r="A35" s="108"/>
      <c r="B35" s="67"/>
      <c r="C35" s="67"/>
      <c r="D35" s="67"/>
      <c r="E35" s="67"/>
      <c r="F35" s="67"/>
      <c r="G35" s="68"/>
    </row>
    <row r="36" spans="1:7" x14ac:dyDescent="0.2">
      <c r="A36" s="109" t="s">
        <v>194</v>
      </c>
      <c r="B36" s="149">
        <f t="shared" ref="B36:G36" si="6">+B25+B34</f>
        <v>619750.11965468898</v>
      </c>
      <c r="C36" s="149">
        <f t="shared" si="6"/>
        <v>998065.23470535735</v>
      </c>
      <c r="D36" s="149">
        <f t="shared" si="6"/>
        <v>163517.60821608364</v>
      </c>
      <c r="E36" s="149">
        <f t="shared" si="6"/>
        <v>114365.15844468845</v>
      </c>
      <c r="F36" s="149">
        <f t="shared" si="6"/>
        <v>114274.42940226983</v>
      </c>
      <c r="G36" s="149">
        <f t="shared" si="6"/>
        <v>114273.51762664496</v>
      </c>
    </row>
  </sheetData>
  <sheetProtection selectLockedCells="1" selectUnlockedCells="1"/>
  <pageMargins left="0.25972222222222224" right="0.4597222222222222" top="0.6" bottom="1" header="0.51180555555555551" footer="0.51180555555555551"/>
  <pageSetup paperSize="9" firstPageNumber="0" fitToHeight="4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5"/>
  <sheetViews>
    <sheetView topLeftCell="A4" zoomScale="90" zoomScaleNormal="90" workbookViewId="0">
      <selection activeCell="B7" sqref="B7"/>
    </sheetView>
  </sheetViews>
  <sheetFormatPr baseColWidth="10" defaultRowHeight="12.75" x14ac:dyDescent="0.2"/>
  <cols>
    <col min="1" max="1" width="28" style="16" customWidth="1"/>
    <col min="2" max="2" width="13.85546875" style="16" customWidth="1"/>
    <col min="3" max="3" width="16" style="16" bestFit="1" customWidth="1"/>
    <col min="4" max="4" width="14.85546875" style="16" bestFit="1" customWidth="1"/>
    <col min="5" max="8" width="13.85546875" style="16" customWidth="1"/>
    <col min="9" max="9" width="16" style="16" bestFit="1" customWidth="1"/>
    <col min="10" max="10" width="17.42578125" style="16" customWidth="1"/>
    <col min="11" max="16384" width="11.42578125" style="16"/>
  </cols>
  <sheetData>
    <row r="1" spans="1:9" x14ac:dyDescent="0.2">
      <c r="A1" s="1" t="s">
        <v>0</v>
      </c>
      <c r="B1"/>
      <c r="C1"/>
      <c r="D1"/>
      <c r="G1" s="2">
        <f>InfoInicial!E1</f>
        <v>8</v>
      </c>
    </row>
    <row r="3" spans="1:9" ht="15.75" x14ac:dyDescent="0.25">
      <c r="A3" s="56" t="s">
        <v>195</v>
      </c>
      <c r="B3" s="57"/>
      <c r="C3" s="57"/>
      <c r="D3" s="57"/>
      <c r="E3" s="57"/>
      <c r="F3" s="57"/>
      <c r="G3" s="57"/>
      <c r="H3" s="57"/>
      <c r="I3" s="58"/>
    </row>
    <row r="4" spans="1:9" ht="25.5" x14ac:dyDescent="0.2">
      <c r="A4" s="59" t="s">
        <v>94</v>
      </c>
      <c r="B4" s="110" t="s">
        <v>196</v>
      </c>
      <c r="C4" s="110" t="s">
        <v>197</v>
      </c>
      <c r="D4" s="21" t="s">
        <v>54</v>
      </c>
      <c r="E4" s="21" t="s">
        <v>95</v>
      </c>
      <c r="F4" s="21" t="s">
        <v>96</v>
      </c>
      <c r="G4" s="21" t="s">
        <v>97</v>
      </c>
      <c r="H4" s="111" t="s">
        <v>98</v>
      </c>
      <c r="I4" s="22" t="s">
        <v>198</v>
      </c>
    </row>
    <row r="5" spans="1:9" x14ac:dyDescent="0.2">
      <c r="A5" s="105" t="s">
        <v>199</v>
      </c>
      <c r="B5" s="106"/>
      <c r="C5" s="106"/>
      <c r="D5" s="106"/>
      <c r="E5" s="106"/>
      <c r="F5" s="106"/>
      <c r="G5" s="106"/>
      <c r="H5" s="112"/>
      <c r="I5" s="107"/>
    </row>
    <row r="6" spans="1:9" x14ac:dyDescent="0.2">
      <c r="A6" s="113" t="s">
        <v>200</v>
      </c>
      <c r="B6" s="64"/>
      <c r="C6" s="64">
        <f>+'E-Inv AF y Am'!B20+'E-Inv AF y Am'!D20</f>
        <v>12286268.58</v>
      </c>
      <c r="D6" s="64"/>
      <c r="E6" s="64"/>
      <c r="F6" s="64"/>
      <c r="G6" s="64"/>
      <c r="H6" s="114"/>
      <c r="I6" s="65">
        <f>+SUM(B6:H6)</f>
        <v>12286268.58</v>
      </c>
    </row>
    <row r="7" spans="1:9" x14ac:dyDescent="0.2">
      <c r="A7" s="113" t="s">
        <v>201</v>
      </c>
      <c r="B7" s="64">
        <f>+'E-Inv AF y Am'!B31</f>
        <v>81022.822444733945</v>
      </c>
      <c r="C7" s="64"/>
      <c r="D7" s="64">
        <f>+'E-Inv AF y Am'!C31</f>
        <v>87468.89206762785</v>
      </c>
      <c r="E7" s="64"/>
      <c r="F7" s="64"/>
      <c r="G7" s="64"/>
      <c r="H7" s="114"/>
      <c r="I7" s="65">
        <f t="shared" ref="I7:I18" si="0">+SUM(B7:H7)</f>
        <v>168491.7145123618</v>
      </c>
    </row>
    <row r="8" spans="1:9" x14ac:dyDescent="0.2">
      <c r="A8" s="105" t="s">
        <v>202</v>
      </c>
      <c r="B8" s="94">
        <f>+SUM(B6:B7)</f>
        <v>81022.822444733945</v>
      </c>
      <c r="C8" s="94">
        <f>+SUM(C6:C7)</f>
        <v>12286268.58</v>
      </c>
      <c r="D8" s="94">
        <f>+SUM(D6:D7)</f>
        <v>87468.89206762785</v>
      </c>
      <c r="E8" s="64"/>
      <c r="F8" s="64"/>
      <c r="G8" s="64"/>
      <c r="H8" s="114"/>
      <c r="I8" s="65">
        <f t="shared" si="0"/>
        <v>12454760.294512361</v>
      </c>
    </row>
    <row r="9" spans="1:9" x14ac:dyDescent="0.2">
      <c r="A9" s="113"/>
      <c r="B9" s="85"/>
      <c r="C9" s="85"/>
      <c r="D9" s="85"/>
      <c r="E9" s="85"/>
      <c r="F9" s="85"/>
      <c r="G9" s="85"/>
      <c r="H9" s="115"/>
      <c r="I9" s="65"/>
    </row>
    <row r="10" spans="1:9" x14ac:dyDescent="0.2">
      <c r="A10" s="105" t="s">
        <v>203</v>
      </c>
      <c r="B10" s="64"/>
      <c r="C10" s="64"/>
      <c r="D10" s="64"/>
      <c r="E10" s="64"/>
      <c r="F10" s="64"/>
      <c r="G10" s="64"/>
      <c r="H10" s="114"/>
      <c r="I10" s="65"/>
    </row>
    <row r="11" spans="1:9" x14ac:dyDescent="0.2">
      <c r="A11" s="113" t="s">
        <v>204</v>
      </c>
      <c r="B11" s="64"/>
      <c r="C11" s="64">
        <f>+'E-InvAT'!B6</f>
        <v>190752</v>
      </c>
      <c r="D11" s="64">
        <f>+'E-InvAT'!C6-'E-InvAT'!B6</f>
        <v>47688</v>
      </c>
      <c r="E11" s="64">
        <f>+'E-InvAT'!D6-'E-InvAT'!C6</f>
        <v>35660</v>
      </c>
      <c r="F11" s="64">
        <f>+'E-InvAT'!E6-'E-InvAT'!D6</f>
        <v>0</v>
      </c>
      <c r="G11" s="64">
        <f>+'E-InvAT'!F6-'E-InvAT'!E6</f>
        <v>0</v>
      </c>
      <c r="H11" s="64">
        <f>+'E-InvAT'!G6-'E-InvAT'!F6</f>
        <v>0</v>
      </c>
      <c r="I11" s="65">
        <f t="shared" si="0"/>
        <v>274100</v>
      </c>
    </row>
    <row r="12" spans="1:9" x14ac:dyDescent="0.2">
      <c r="A12" s="113" t="s">
        <v>205</v>
      </c>
      <c r="B12" s="64"/>
      <c r="C12" s="64"/>
      <c r="D12" s="64">
        <f>+'E-InvAT'!C7-'E-InvAT'!C19-'E-InvAT'!C20</f>
        <v>678327.01467619999</v>
      </c>
      <c r="E12" s="64">
        <f>+'E-InvAT'!D7-'E-InvAT'!D19-'E-InvAT'!D20-('E-InvAT'!C7-'E-InvAT'!C19-'E-InvAT'!C20)</f>
        <v>-11565.321368731209</v>
      </c>
      <c r="F12" s="64">
        <f>+'E-InvAT'!E7-'E-InvAT'!E19-'E-InvAT'!E20-('E-InvAT'!D7-'E-InvAT'!D19-'E-InvAT'!D20)</f>
        <v>68.638061049045064</v>
      </c>
      <c r="G12" s="64">
        <f>+'E-InvAT'!F7-'E-InvAT'!F19-'E-InvAT'!F20-('E-InvAT'!E7-'E-InvAT'!E19-'E-InvAT'!E20)</f>
        <v>120.90389450313523</v>
      </c>
      <c r="H12" s="64">
        <f>+'E-InvAT'!G7-'E-InvAT'!G19-'E-InvAT'!G20-('E-InvAT'!F7-'E-InvAT'!F19-'E-InvAT'!F20)</f>
        <v>-5.1864285238552839</v>
      </c>
      <c r="I12" s="65">
        <f t="shared" si="0"/>
        <v>666946.04883449711</v>
      </c>
    </row>
    <row r="13" spans="1:9" x14ac:dyDescent="0.2">
      <c r="A13" s="113" t="s">
        <v>206</v>
      </c>
      <c r="B13" s="64"/>
      <c r="C13" s="64"/>
      <c r="D13" s="64"/>
      <c r="E13" s="64"/>
      <c r="F13" s="64"/>
      <c r="G13" s="64"/>
      <c r="H13" s="114"/>
      <c r="I13" s="65"/>
    </row>
    <row r="14" spans="1:9" x14ac:dyDescent="0.2">
      <c r="A14" s="113" t="s">
        <v>207</v>
      </c>
      <c r="B14" s="64"/>
      <c r="C14" s="64">
        <f>+'E-InvAT'!B10</f>
        <v>135907.20000000001</v>
      </c>
      <c r="D14" s="64">
        <f>+'E-InvAT'!C10-'E-InvAT'!B10</f>
        <v>1149.9839999999967</v>
      </c>
      <c r="E14" s="64">
        <f>+'E-InvAT'!D10-'E-InvAT'!C10</f>
        <v>0</v>
      </c>
      <c r="F14" s="64">
        <f>+'E-InvAT'!E10-'E-InvAT'!D10</f>
        <v>0</v>
      </c>
      <c r="G14" s="64">
        <f>+'E-InvAT'!F10-'E-InvAT'!E10</f>
        <v>0</v>
      </c>
      <c r="H14" s="64">
        <f>+'E-InvAT'!G10-'E-InvAT'!F10</f>
        <v>0</v>
      </c>
      <c r="I14" s="65">
        <f t="shared" si="0"/>
        <v>137057.18400000001</v>
      </c>
    </row>
    <row r="15" spans="1:9" x14ac:dyDescent="0.2">
      <c r="A15" s="113" t="s">
        <v>208</v>
      </c>
      <c r="B15" s="64"/>
      <c r="C15" s="64">
        <f>+'E-InvAT'!B11</f>
        <v>218636.70054106519</v>
      </c>
      <c r="D15" s="64">
        <f>+'E-InvAT'!C11-'E-InvAT'!B11</f>
        <v>24292.966726785031</v>
      </c>
      <c r="E15" s="64">
        <f>+'E-InvAT'!D11-'E-InvAT'!C11</f>
        <v>24197.416934941168</v>
      </c>
      <c r="F15" s="64">
        <f>+'E-InvAT'!E11-'E-InvAT'!D11</f>
        <v>0</v>
      </c>
      <c r="G15" s="64">
        <f>+'E-InvAT'!F11-'E-InvAT'!E11</f>
        <v>0</v>
      </c>
      <c r="H15" s="64">
        <f>+'E-InvAT'!G11-'E-InvAT'!F11</f>
        <v>0</v>
      </c>
      <c r="I15" s="65">
        <f t="shared" si="0"/>
        <v>267127.08420279139</v>
      </c>
    </row>
    <row r="16" spans="1:9" x14ac:dyDescent="0.2">
      <c r="A16" s="113" t="s">
        <v>209</v>
      </c>
      <c r="B16" s="64"/>
      <c r="C16" s="64">
        <f>+'E-InvAT'!B12</f>
        <v>0</v>
      </c>
      <c r="D16" s="64">
        <f>+'E-InvAT'!C12-'E-InvAT'!B12</f>
        <v>15544.103491820802</v>
      </c>
      <c r="E16" s="64">
        <f>+'E-InvAT'!D12-'E-InvAT'!C12</f>
        <v>-321.17624572485329</v>
      </c>
      <c r="F16" s="64">
        <f>+'E-InvAT'!E12-'E-InvAT'!D12</f>
        <v>0</v>
      </c>
      <c r="G16" s="64">
        <f>+'E-InvAT'!F12-'E-InvAT'!E12</f>
        <v>-10.402993295878332</v>
      </c>
      <c r="H16" s="64">
        <f>+'E-InvAT'!G12-'E-InvAT'!F12</f>
        <v>0</v>
      </c>
      <c r="I16" s="65">
        <f t="shared" si="0"/>
        <v>15212.524252800071</v>
      </c>
    </row>
    <row r="17" spans="1:10" x14ac:dyDescent="0.2">
      <c r="A17" s="113" t="s">
        <v>210</v>
      </c>
      <c r="B17" s="64"/>
      <c r="C17" s="64">
        <f>+'E-InvAT'!B13</f>
        <v>0</v>
      </c>
      <c r="D17" s="64">
        <f>+('E-InvAT'!C13-'E-InvAT'!C18)-('E-InvAT'!B13-'E-InvAT'!B18)</f>
        <v>123920.63205846937</v>
      </c>
      <c r="E17" s="64">
        <f>+('E-InvAT'!D13-'E-InvAT'!D18)-('E-InvAT'!C13-'E-InvAT'!C18)</f>
        <v>983.50255555157491</v>
      </c>
      <c r="F17" s="64">
        <f>+('E-InvAT'!E13-'E-InvAT'!E18)-('E-InvAT'!D13-'E-InvAT'!D18)</f>
        <v>-11.063531537802191</v>
      </c>
      <c r="G17" s="64">
        <f>+('E-InvAT'!F13-'E-InvAT'!F18)-('E-InvAT'!E13-'E-InvAT'!E18)</f>
        <v>-124.93158251600107</v>
      </c>
      <c r="H17" s="64">
        <f>+('E-InvAT'!G13-'E-InvAT'!G18)-('E-InvAT'!F13-'E-InvAT'!F18)</f>
        <v>-0.35835104853322264</v>
      </c>
      <c r="I17" s="65">
        <f t="shared" si="0"/>
        <v>124767.78114891861</v>
      </c>
    </row>
    <row r="18" spans="1:10" x14ac:dyDescent="0.2">
      <c r="A18" s="105" t="s">
        <v>211</v>
      </c>
      <c r="B18" s="64"/>
      <c r="C18" s="94">
        <f t="shared" ref="C18:H18" si="1">+SUM(C11:C17)</f>
        <v>545295.90054106526</v>
      </c>
      <c r="D18" s="94">
        <f t="shared" si="1"/>
        <v>890922.7009532752</v>
      </c>
      <c r="E18" s="94">
        <f t="shared" si="1"/>
        <v>48954.421876036678</v>
      </c>
      <c r="F18" s="94">
        <f t="shared" si="1"/>
        <v>57.574529511242872</v>
      </c>
      <c r="G18" s="94">
        <f t="shared" si="1"/>
        <v>-14.43068130874417</v>
      </c>
      <c r="H18" s="94">
        <f t="shared" si="1"/>
        <v>-5.5447795723885065</v>
      </c>
      <c r="I18" s="65">
        <f t="shared" si="0"/>
        <v>1485210.6224390073</v>
      </c>
    </row>
    <row r="19" spans="1:10" x14ac:dyDescent="0.2">
      <c r="A19" s="113"/>
      <c r="B19" s="85"/>
      <c r="C19" s="85"/>
      <c r="D19" s="85"/>
      <c r="E19" s="85"/>
      <c r="F19" s="85"/>
      <c r="G19" s="85"/>
      <c r="H19" s="115"/>
      <c r="I19" s="86"/>
    </row>
    <row r="20" spans="1:10" x14ac:dyDescent="0.2">
      <c r="A20" s="105" t="s">
        <v>212</v>
      </c>
      <c r="B20" s="85"/>
      <c r="C20" s="85"/>
      <c r="D20" s="85"/>
      <c r="E20" s="85"/>
      <c r="F20" s="85"/>
      <c r="G20" s="85"/>
      <c r="H20" s="115"/>
      <c r="I20" s="86"/>
    </row>
    <row r="21" spans="1:10" x14ac:dyDescent="0.2">
      <c r="A21" s="113" t="s">
        <v>213</v>
      </c>
      <c r="B21" s="64">
        <f t="shared" ref="B21:H21" si="2">+B8*0.21</f>
        <v>17014.792713394127</v>
      </c>
      <c r="C21" s="64">
        <f t="shared" si="2"/>
        <v>2580116.4018000001</v>
      </c>
      <c r="D21" s="64">
        <f t="shared" si="2"/>
        <v>18368.467334201847</v>
      </c>
      <c r="E21" s="64">
        <f t="shared" si="2"/>
        <v>0</v>
      </c>
      <c r="F21" s="64">
        <f t="shared" si="2"/>
        <v>0</v>
      </c>
      <c r="G21" s="64">
        <f t="shared" si="2"/>
        <v>0</v>
      </c>
      <c r="H21" s="64">
        <f t="shared" si="2"/>
        <v>0</v>
      </c>
      <c r="I21" s="65">
        <f>+SUM(B21:H21)</f>
        <v>2615499.6618475961</v>
      </c>
    </row>
    <row r="22" spans="1:10" x14ac:dyDescent="0.2">
      <c r="A22" s="113" t="s">
        <v>214</v>
      </c>
      <c r="B22" s="64"/>
      <c r="C22" s="64">
        <f>+'E-InvAT'!B34</f>
        <v>74454.219113623694</v>
      </c>
      <c r="D22" s="64">
        <f>+'E-InvAT'!C34</f>
        <v>109089.35923491715</v>
      </c>
      <c r="E22" s="64">
        <f>+'E-InvAT'!D34</f>
        <v>114309.90725680024</v>
      </c>
      <c r="F22" s="64">
        <f>+'E-InvAT'!E34</f>
        <v>114307.5839151773</v>
      </c>
      <c r="G22" s="64">
        <f>+'E-InvAT'!F34</f>
        <v>114279.13765993755</v>
      </c>
      <c r="H22" s="64">
        <f>+'E-InvAT'!G34</f>
        <v>114279.06240621736</v>
      </c>
      <c r="I22" s="65">
        <f>+SUM(B22:H22)</f>
        <v>640719.26958667336</v>
      </c>
    </row>
    <row r="23" spans="1:10" x14ac:dyDescent="0.2">
      <c r="A23" s="105" t="s">
        <v>215</v>
      </c>
      <c r="B23" s="64">
        <f t="shared" ref="B23:H23" si="3">+B21+B22</f>
        <v>17014.792713394127</v>
      </c>
      <c r="C23" s="64">
        <f t="shared" si="3"/>
        <v>2654570.6209136238</v>
      </c>
      <c r="D23" s="64">
        <f t="shared" si="3"/>
        <v>127457.826569119</v>
      </c>
      <c r="E23" s="64">
        <f t="shared" si="3"/>
        <v>114309.90725680024</v>
      </c>
      <c r="F23" s="64">
        <f t="shared" si="3"/>
        <v>114307.5839151773</v>
      </c>
      <c r="G23" s="64">
        <f t="shared" si="3"/>
        <v>114279.13765993755</v>
      </c>
      <c r="H23" s="64">
        <f t="shared" si="3"/>
        <v>114279.06240621736</v>
      </c>
      <c r="I23" s="65">
        <f>+SUM(B23:H23)</f>
        <v>3256218.9314342691</v>
      </c>
    </row>
    <row r="24" spans="1:10" x14ac:dyDescent="0.2">
      <c r="A24" s="105"/>
      <c r="B24" s="85"/>
      <c r="C24" s="85"/>
      <c r="D24" s="85"/>
      <c r="E24" s="85"/>
      <c r="F24" s="85"/>
      <c r="G24" s="85"/>
      <c r="H24" s="115"/>
      <c r="I24" s="86"/>
    </row>
    <row r="25" spans="1:10" x14ac:dyDescent="0.2">
      <c r="A25" s="109" t="s">
        <v>216</v>
      </c>
      <c r="B25" s="149">
        <f>+B8+B18+B23</f>
        <v>98037.615158128072</v>
      </c>
      <c r="C25" s="149">
        <f t="shared" ref="C25:H25" si="4">+C8+C18+C23</f>
        <v>15486135.10145469</v>
      </c>
      <c r="D25" s="149">
        <f t="shared" si="4"/>
        <v>1105849.4195900219</v>
      </c>
      <c r="E25" s="149">
        <f t="shared" si="4"/>
        <v>163264.32913283692</v>
      </c>
      <c r="F25" s="149">
        <f t="shared" si="4"/>
        <v>114365.15844468854</v>
      </c>
      <c r="G25" s="149">
        <f t="shared" si="4"/>
        <v>114264.7069786288</v>
      </c>
      <c r="H25" s="149">
        <f t="shared" si="4"/>
        <v>114273.51762664497</v>
      </c>
      <c r="I25" s="95">
        <f>+SUM(B25:H25)</f>
        <v>17196189.848385639</v>
      </c>
      <c r="J25" s="351"/>
    </row>
  </sheetData>
  <sheetProtection selectLockedCells="1" selectUnlockedCells="1"/>
  <pageMargins left="0.25972222222222224" right="0.4597222222222222" top="1.2701388888888889" bottom="1" header="0.51180555555555551" footer="0.51180555555555551"/>
  <pageSetup paperSize="9" firstPageNumber="0" fitToHeight="4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0"/>
  <sheetViews>
    <sheetView topLeftCell="A6" zoomScale="90" zoomScaleNormal="90" workbookViewId="0">
      <selection activeCell="C14" sqref="C14"/>
    </sheetView>
  </sheetViews>
  <sheetFormatPr baseColWidth="10" defaultRowHeight="12.75" x14ac:dyDescent="0.2"/>
  <cols>
    <col min="1" max="1" width="28" style="16" customWidth="1"/>
    <col min="2" max="7" width="13.85546875" style="16" customWidth="1"/>
    <col min="8" max="8" width="17.42578125" style="16" customWidth="1"/>
    <col min="9" max="16384" width="11.42578125" style="16"/>
  </cols>
  <sheetData>
    <row r="1" spans="1:7" x14ac:dyDescent="0.2">
      <c r="A1" s="1" t="s">
        <v>0</v>
      </c>
      <c r="B1"/>
      <c r="C1"/>
      <c r="D1"/>
      <c r="G1" s="2">
        <f>InfoInicial!E1</f>
        <v>8</v>
      </c>
    </row>
    <row r="2" spans="1:7" ht="15.75" x14ac:dyDescent="0.25">
      <c r="A2" s="117" t="s">
        <v>217</v>
      </c>
      <c r="B2" s="57"/>
      <c r="C2" s="57"/>
      <c r="D2" s="57"/>
      <c r="E2" s="57"/>
      <c r="F2" s="57"/>
      <c r="G2" s="58"/>
    </row>
    <row r="3" spans="1:7" ht="15.75" x14ac:dyDescent="0.25">
      <c r="A3" s="118"/>
      <c r="B3" s="119" t="s">
        <v>218</v>
      </c>
      <c r="C3" s="119"/>
      <c r="D3" s="119"/>
      <c r="E3" s="119"/>
      <c r="F3" s="119"/>
      <c r="G3" s="120"/>
    </row>
    <row r="4" spans="1:7" x14ac:dyDescent="0.2">
      <c r="A4" s="121" t="s">
        <v>94</v>
      </c>
      <c r="B4" s="110" t="s">
        <v>53</v>
      </c>
      <c r="C4" s="21" t="s">
        <v>54</v>
      </c>
      <c r="D4" s="21" t="s">
        <v>95</v>
      </c>
      <c r="E4" s="21" t="s">
        <v>96</v>
      </c>
      <c r="F4" s="21" t="s">
        <v>97</v>
      </c>
      <c r="G4" s="22" t="s">
        <v>98</v>
      </c>
    </row>
    <row r="5" spans="1:7" x14ac:dyDescent="0.2">
      <c r="A5" s="122" t="s">
        <v>219</v>
      </c>
      <c r="B5" s="123"/>
      <c r="C5" s="106"/>
      <c r="D5" s="106"/>
      <c r="E5" s="106"/>
      <c r="F5" s="106"/>
      <c r="G5" s="107"/>
    </row>
    <row r="6" spans="1:7" x14ac:dyDescent="0.2">
      <c r="A6" s="124" t="s">
        <v>220</v>
      </c>
      <c r="B6" s="125"/>
      <c r="C6" s="64">
        <f>+'E-Costos'!B7*0.21</f>
        <v>302845.568256</v>
      </c>
      <c r="D6" s="64">
        <f>+'E-Costos'!C7*0.21</f>
        <v>330982.12224000006</v>
      </c>
      <c r="E6" s="64">
        <f>+'E-Costos'!D7*0.21</f>
        <v>330982.12224000006</v>
      </c>
      <c r="F6" s="64">
        <f>+'E-Costos'!E7*0.21</f>
        <v>330982.12224000006</v>
      </c>
      <c r="G6" s="64">
        <f>+'E-Costos'!F7*0.21</f>
        <v>330982.12224000006</v>
      </c>
    </row>
    <row r="7" spans="1:7" x14ac:dyDescent="0.2">
      <c r="A7" s="124" t="s">
        <v>104</v>
      </c>
      <c r="B7" s="125"/>
      <c r="C7" s="64">
        <f>+('E-Costos'!B12+'E-Costos'!B30+'E-Costos'!B54+'E-Costos'!B71)*0.21</f>
        <v>51015.230126248542</v>
      </c>
      <c r="D7" s="64">
        <f>+('E-Costos'!C12+'E-Costos'!C30+'E-Costos'!C54+'E-Costos'!C71)*0.21</f>
        <v>56096.687682586191</v>
      </c>
      <c r="E7" s="64">
        <f>+('E-Costos'!D12+'E-Costos'!D30+'E-Costos'!D54+'E-Costos'!D71)*0.21</f>
        <v>56096.687682586191</v>
      </c>
      <c r="F7" s="64">
        <f>+('E-Costos'!E12+'E-Costos'!E30+'E-Costos'!E54+'E-Costos'!E71)*0.21</f>
        <v>56096.687682586191</v>
      </c>
      <c r="G7" s="64">
        <f>+('E-Costos'!F12+'E-Costos'!F30+'E-Costos'!F54+'E-Costos'!F71)*0.21</f>
        <v>56096.687682586191</v>
      </c>
    </row>
    <row r="8" spans="1:7" x14ac:dyDescent="0.2">
      <c r="A8" s="124" t="s">
        <v>105</v>
      </c>
      <c r="B8" s="125"/>
      <c r="C8" s="64">
        <f>+('E-Costos'!B13+'E-Costos'!B55+'E-Costos'!B72)*0.21</f>
        <v>160524</v>
      </c>
      <c r="D8" s="64">
        <f>+('E-Costos'!C13+'E-Costos'!C55+'E-Costos'!C72)*0.21</f>
        <v>176400</v>
      </c>
      <c r="E8" s="64">
        <f>+('E-Costos'!D13+'E-Costos'!D55+'E-Costos'!D72)*0.21</f>
        <v>176400</v>
      </c>
      <c r="F8" s="64">
        <f>+('E-Costos'!E13+'E-Costos'!E55+'E-Costos'!E72)*0.21</f>
        <v>176400</v>
      </c>
      <c r="G8" s="64">
        <f>+('E-Costos'!F13+'E-Costos'!F55+'E-Costos'!F72)*0.21</f>
        <v>176400</v>
      </c>
    </row>
    <row r="9" spans="1:7" x14ac:dyDescent="0.2">
      <c r="A9" s="124" t="s">
        <v>106</v>
      </c>
      <c r="B9" s="125"/>
      <c r="C9" s="64">
        <f>+('E-Costos'!B14+'E-Costos'!B56+'E-Costos'!B73)*0.21</f>
        <v>4788</v>
      </c>
      <c r="D9" s="64">
        <f>+('E-Costos'!C14+'E-Costos'!C56+'E-Costos'!C73)*0.21</f>
        <v>5985</v>
      </c>
      <c r="E9" s="64">
        <f>+('E-Costos'!D14+'E-Costos'!D56+'E-Costos'!D73)*0.21</f>
        <v>5985</v>
      </c>
      <c r="F9" s="64">
        <f>+('E-Costos'!E14+'E-Costos'!E56+'E-Costos'!E73)*0.21</f>
        <v>5985</v>
      </c>
      <c r="G9" s="64">
        <f>+('E-Costos'!F14+'E-Costos'!F56+'E-Costos'!F73)*0.21</f>
        <v>5985</v>
      </c>
    </row>
    <row r="10" spans="1:7" x14ac:dyDescent="0.2">
      <c r="A10" s="124" t="s">
        <v>221</v>
      </c>
      <c r="B10" s="125"/>
      <c r="C10" s="64">
        <v>0</v>
      </c>
      <c r="D10" s="64">
        <v>0</v>
      </c>
      <c r="E10" s="64">
        <v>0</v>
      </c>
      <c r="F10" s="64">
        <v>0</v>
      </c>
      <c r="G10" s="64">
        <v>0</v>
      </c>
    </row>
    <row r="11" spans="1:7" x14ac:dyDescent="0.2">
      <c r="A11" s="124" t="s">
        <v>130</v>
      </c>
      <c r="B11" s="125"/>
      <c r="C11" s="64">
        <v>0</v>
      </c>
      <c r="D11" s="64">
        <v>0</v>
      </c>
      <c r="E11" s="64">
        <v>0</v>
      </c>
      <c r="F11" s="64">
        <v>0</v>
      </c>
      <c r="G11" s="64">
        <v>0</v>
      </c>
    </row>
    <row r="12" spans="1:7" x14ac:dyDescent="0.2">
      <c r="A12" s="126" t="s">
        <v>89</v>
      </c>
      <c r="B12" s="125"/>
      <c r="C12" s="94">
        <f>+SUM(C6:C11)</f>
        <v>519172.79838224855</v>
      </c>
      <c r="D12" s="94">
        <f>+SUM(D6:D11)</f>
        <v>569463.8099225862</v>
      </c>
      <c r="E12" s="94">
        <f>+SUM(E6:E11)</f>
        <v>569463.8099225862</v>
      </c>
      <c r="F12" s="94">
        <f>+SUM(F6:F11)</f>
        <v>569463.8099225862</v>
      </c>
      <c r="G12" s="94">
        <f>+SUM(G6:G11)</f>
        <v>569463.8099225862</v>
      </c>
    </row>
    <row r="13" spans="1:7" x14ac:dyDescent="0.2">
      <c r="A13" s="124" t="s">
        <v>222</v>
      </c>
      <c r="B13" s="125"/>
      <c r="D13" s="64"/>
      <c r="E13" s="64"/>
      <c r="F13" s="64"/>
      <c r="G13" s="65"/>
    </row>
    <row r="14" spans="1:7" x14ac:dyDescent="0.2">
      <c r="A14" s="124" t="s">
        <v>223</v>
      </c>
      <c r="B14" s="127"/>
      <c r="C14" s="349">
        <f>+'E-Costos'!G25-'E-Costos'!G26</f>
        <v>67094.545592080351</v>
      </c>
      <c r="D14" s="85"/>
      <c r="E14" s="85"/>
      <c r="F14" s="85"/>
      <c r="G14" s="86"/>
    </row>
    <row r="15" spans="1:7" x14ac:dyDescent="0.2">
      <c r="A15" s="124" t="s">
        <v>224</v>
      </c>
      <c r="B15" s="125"/>
      <c r="C15" s="64">
        <f>+'E-InvAT'!C12*0.21</f>
        <v>3264.2617332823684</v>
      </c>
      <c r="D15" s="64">
        <f>+'E-InvAT'!D12*0.21</f>
        <v>3196.814721680149</v>
      </c>
      <c r="E15" s="64">
        <f>+'E-InvAT'!E12*0.21</f>
        <v>3196.814721680149</v>
      </c>
      <c r="F15" s="64">
        <f>+'E-InvAT'!F12*0.21</f>
        <v>3194.6300930880147</v>
      </c>
      <c r="G15" s="64">
        <f>+'E-InvAT'!G12*0.21</f>
        <v>3194.6300930880147</v>
      </c>
    </row>
    <row r="16" spans="1:7" x14ac:dyDescent="0.2">
      <c r="A16" s="124" t="s">
        <v>225</v>
      </c>
      <c r="B16" s="125"/>
      <c r="C16" s="64">
        <f>+'E-InvAT'!C13*0.21</f>
        <v>26027.858735386235</v>
      </c>
      <c r="D16" s="64">
        <f>+'E-InvAT'!D13*0.21</f>
        <v>26234.396212533917</v>
      </c>
      <c r="E16" s="64">
        <f>+'E-InvAT'!E13*0.21</f>
        <v>26232.072870910975</v>
      </c>
      <c r="F16" s="64">
        <f>+'E-InvAT'!F13*0.21</f>
        <v>26205.811244263354</v>
      </c>
      <c r="G16" s="64">
        <f>+'E-InvAT'!G13*0.21</f>
        <v>26205.735990543162</v>
      </c>
    </row>
    <row r="17" spans="1:7" x14ac:dyDescent="0.2">
      <c r="A17" s="126" t="s">
        <v>226</v>
      </c>
      <c r="B17" s="125"/>
      <c r="C17" s="94">
        <f>+C12-SUM(C14:C16)</f>
        <v>422786.13232149958</v>
      </c>
      <c r="D17" s="94">
        <f>+D12-SUM(D13:D16)</f>
        <v>540032.59898837213</v>
      </c>
      <c r="E17" s="94">
        <f>+E12-SUM(E13:E16)</f>
        <v>540034.92232999508</v>
      </c>
      <c r="F17" s="94">
        <f>+F12-SUM(F13:F16)</f>
        <v>540063.36858523486</v>
      </c>
      <c r="G17" s="94">
        <f>+G12-SUM(G13:G16)</f>
        <v>540063.44383895502</v>
      </c>
    </row>
    <row r="18" spans="1:7" x14ac:dyDescent="0.2">
      <c r="A18" s="126" t="s">
        <v>227</v>
      </c>
      <c r="B18" s="125"/>
      <c r="C18" s="94">
        <f>+SUM('E-Costos'!B54:B57)</f>
        <v>54110.681580000004</v>
      </c>
      <c r="D18" s="94">
        <f>+SUM('E-Costos'!C54:C57)</f>
        <v>54110.681580000004</v>
      </c>
      <c r="E18" s="94">
        <f>+SUM('E-Costos'!D54:D57)</f>
        <v>54110.681580000004</v>
      </c>
      <c r="F18" s="94">
        <f>+SUM('E-Costos'!E54:E57)</f>
        <v>54110.681580000004</v>
      </c>
      <c r="G18" s="94">
        <f>+SUM('E-Costos'!F54:F57)</f>
        <v>54110.681580000004</v>
      </c>
    </row>
    <row r="19" spans="1:7" x14ac:dyDescent="0.2">
      <c r="A19" s="126" t="s">
        <v>228</v>
      </c>
      <c r="B19" s="125"/>
      <c r="C19" s="94">
        <f>+SUM('E-Costos'!B71:B74)</f>
        <v>54110.681580000004</v>
      </c>
      <c r="D19" s="94">
        <f>+SUM('E-Costos'!C71:C74)</f>
        <v>54110.681580000004</v>
      </c>
      <c r="E19" s="94">
        <f>+SUM('E-Costos'!D71:D74)</f>
        <v>54110.681580000004</v>
      </c>
      <c r="F19" s="94">
        <f>+SUM('E-Costos'!E71:E74)</f>
        <v>54110.681580000004</v>
      </c>
      <c r="G19" s="94">
        <f>+SUM('E-Costos'!F71:F74)</f>
        <v>54110.681580000004</v>
      </c>
    </row>
    <row r="20" spans="1:7" x14ac:dyDescent="0.2">
      <c r="A20" s="126"/>
      <c r="B20" s="127"/>
      <c r="C20" s="85"/>
      <c r="D20" s="85"/>
      <c r="E20" s="85"/>
      <c r="F20" s="85"/>
      <c r="G20" s="86"/>
    </row>
    <row r="21" spans="1:7" x14ac:dyDescent="0.2">
      <c r="A21" s="124" t="s">
        <v>229</v>
      </c>
      <c r="B21" s="125"/>
      <c r="C21" s="64">
        <f>+SUM(C17:C19)</f>
        <v>531007.49548149959</v>
      </c>
      <c r="D21" s="64">
        <f>+SUM(D17:D19)</f>
        <v>648253.96214837208</v>
      </c>
      <c r="E21" s="64">
        <f>+SUM(E17:E19)</f>
        <v>648256.28548999503</v>
      </c>
      <c r="F21" s="64">
        <f>+SUM(F17:F19)</f>
        <v>648284.73174523481</v>
      </c>
      <c r="G21" s="64">
        <f>+SUM(G17:G19)</f>
        <v>648284.80699895497</v>
      </c>
    </row>
    <row r="22" spans="1:7" x14ac:dyDescent="0.2">
      <c r="A22" s="124" t="s">
        <v>230</v>
      </c>
      <c r="B22" s="125"/>
      <c r="C22" s="64">
        <f>+'E-Costos'!B88*0.21</f>
        <v>2503620</v>
      </c>
      <c r="D22" s="64">
        <f>+'E-Costos'!C88*0.21</f>
        <v>2878050</v>
      </c>
      <c r="E22" s="64">
        <f>+'E-Costos'!D88*0.21</f>
        <v>2878050</v>
      </c>
      <c r="F22" s="64">
        <f>+'E-Costos'!E88*0.21</f>
        <v>2878050</v>
      </c>
      <c r="G22" s="64">
        <f>+'E-Costos'!F88*0.21</f>
        <v>2878050</v>
      </c>
    </row>
    <row r="23" spans="1:7" x14ac:dyDescent="0.2">
      <c r="A23" s="126" t="s">
        <v>231</v>
      </c>
      <c r="B23" s="125"/>
      <c r="C23" s="94">
        <f>+C22-C21</f>
        <v>1972612.5045185005</v>
      </c>
      <c r="D23" s="94">
        <f>+D22-D21</f>
        <v>2229796.0378516279</v>
      </c>
      <c r="E23" s="94">
        <f>+E22-E21</f>
        <v>2229793.714510005</v>
      </c>
      <c r="F23" s="94">
        <f>+F22-F21</f>
        <v>2229765.2682547653</v>
      </c>
      <c r="G23" s="94">
        <f>+G22-G21</f>
        <v>2229765.1930010449</v>
      </c>
    </row>
    <row r="24" spans="1:7" x14ac:dyDescent="0.2">
      <c r="A24" s="124"/>
      <c r="B24" s="127"/>
      <c r="C24" s="85"/>
      <c r="D24" s="85"/>
      <c r="E24" s="85"/>
      <c r="F24" s="85"/>
      <c r="G24" s="86"/>
    </row>
    <row r="25" spans="1:7" x14ac:dyDescent="0.2">
      <c r="A25" s="128" t="s">
        <v>232</v>
      </c>
      <c r="B25" s="125"/>
      <c r="C25" s="64">
        <f>+B27</f>
        <v>2671585.4136270178</v>
      </c>
      <c r="D25" s="64">
        <f>+C27</f>
        <v>826430.73567763623</v>
      </c>
      <c r="E25" s="64">
        <f>+D27</f>
        <v>0</v>
      </c>
      <c r="F25" s="64">
        <f>+E27</f>
        <v>0</v>
      </c>
      <c r="G25" s="64">
        <f>+F27</f>
        <v>0</v>
      </c>
    </row>
    <row r="26" spans="1:7" x14ac:dyDescent="0.2">
      <c r="A26" s="128" t="s">
        <v>233</v>
      </c>
      <c r="B26" s="125">
        <f>+'E-Cal Inv.'!B23+'E-Cal Inv.'!C23</f>
        <v>2671585.4136270178</v>
      </c>
      <c r="C26" s="64">
        <f>+'E-Cal Inv.'!D23</f>
        <v>127457.826569119</v>
      </c>
      <c r="D26" s="64">
        <f>+'E-Cal Inv.'!E23</f>
        <v>114309.90725680024</v>
      </c>
      <c r="E26" s="64">
        <f>+'E-Cal Inv.'!F23</f>
        <v>114307.5839151773</v>
      </c>
      <c r="F26" s="64">
        <f>+'E-Cal Inv.'!G23</f>
        <v>114279.13765993755</v>
      </c>
      <c r="G26" s="64">
        <f>+'E-Cal Inv.'!H23</f>
        <v>114279.06240621736</v>
      </c>
    </row>
    <row r="27" spans="1:7" x14ac:dyDescent="0.2">
      <c r="A27" s="126" t="s">
        <v>234</v>
      </c>
      <c r="B27" s="125">
        <f>+B26-B23</f>
        <v>2671585.4136270178</v>
      </c>
      <c r="C27" s="125">
        <f>IF(C25+C26-C23&gt;0,C25+C26-C23,0)</f>
        <v>826430.73567763623</v>
      </c>
      <c r="D27" s="125">
        <f>IF(D25+D26-D23&gt;0,D25+D26-D23,0)</f>
        <v>0</v>
      </c>
      <c r="E27" s="125">
        <f>IF(E25+E26-E23&gt;0,E25+E26-E23,0)</f>
        <v>0</v>
      </c>
      <c r="F27" s="125">
        <f>IF(F25+F26-F23&gt;0,F25+F26-F23,0)</f>
        <v>0</v>
      </c>
      <c r="G27" s="125">
        <f>IF(G25+G26-G23&gt;0,G25+G26-G23,0)</f>
        <v>0</v>
      </c>
    </row>
    <row r="28" spans="1:7" x14ac:dyDescent="0.2">
      <c r="A28" s="126" t="s">
        <v>235</v>
      </c>
      <c r="B28" s="125"/>
      <c r="C28" s="125">
        <f>IF(C25+C26&gt;C23,C23,IF(C23-C25-C26&gt;0,C25+C26,0))</f>
        <v>1972612.5045185005</v>
      </c>
      <c r="D28" s="125">
        <f>IF(D25+D26&gt;D23,D23,IF(D23-D25-D26&gt;0,D25+D26,0))</f>
        <v>940740.64293443644</v>
      </c>
      <c r="E28" s="125">
        <f>IF(E25+E26&gt;E23,E23,IF(E23-E25-E26&gt;0,E25+E26,0))</f>
        <v>114307.5839151773</v>
      </c>
      <c r="F28" s="125">
        <f>IF(F25+F26&gt;F23,F23,IF(F23-F25-F26&gt;0,F25+F26,0))</f>
        <v>114279.13765993755</v>
      </c>
      <c r="G28" s="125">
        <f>IF(G25+G26&gt;G23,G23,IF(G23-G25-G26&gt;0,G25+G26,0))</f>
        <v>114279.06240621736</v>
      </c>
    </row>
    <row r="29" spans="1:7" x14ac:dyDescent="0.2">
      <c r="A29" s="124"/>
      <c r="B29" s="127"/>
      <c r="C29" s="85"/>
      <c r="D29" s="85"/>
      <c r="E29" s="85"/>
      <c r="F29" s="85"/>
      <c r="G29" s="86"/>
    </row>
    <row r="30" spans="1:7" x14ac:dyDescent="0.2">
      <c r="A30" s="129" t="s">
        <v>236</v>
      </c>
      <c r="B30" s="352">
        <f t="shared" ref="B30:G30" si="0">IF(B23-B27-B28&gt;0,B23-B27-B28,0)</f>
        <v>0</v>
      </c>
      <c r="C30" s="352">
        <f t="shared" si="0"/>
        <v>0</v>
      </c>
      <c r="D30" s="352">
        <f t="shared" si="0"/>
        <v>1289055.3949171915</v>
      </c>
      <c r="E30" s="352">
        <f t="shared" si="0"/>
        <v>2115486.1305948277</v>
      </c>
      <c r="F30" s="352">
        <f t="shared" si="0"/>
        <v>2115486.1305948277</v>
      </c>
      <c r="G30" s="352">
        <f t="shared" si="0"/>
        <v>2115486.1305948277</v>
      </c>
    </row>
  </sheetData>
  <sheetProtection selectLockedCells="1" selectUnlockedCells="1"/>
  <pageMargins left="0.25972222222222224" right="0.4597222222222222" top="1.2701388888888889" bottom="1" header="0.51180555555555551" footer="0.51180555555555551"/>
  <pageSetup paperSize="9" firstPageNumber="0" fitToHeight="4" orientation="landscape" horizontalDpi="300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1"/>
  <sheetViews>
    <sheetView zoomScale="90" zoomScaleNormal="90" workbookViewId="0">
      <selection activeCell="C22" sqref="C22"/>
    </sheetView>
  </sheetViews>
  <sheetFormatPr baseColWidth="10" defaultRowHeight="12.75" x14ac:dyDescent="0.2"/>
  <cols>
    <col min="1" max="1" width="7.85546875" style="16" customWidth="1"/>
    <col min="2" max="2" width="16" style="16" bestFit="1" customWidth="1"/>
    <col min="3" max="3" width="33.28515625" style="16" bestFit="1" customWidth="1"/>
    <col min="4" max="4" width="16" style="16" bestFit="1" customWidth="1"/>
    <col min="5" max="5" width="14.85546875" style="16" customWidth="1"/>
    <col min="6" max="8" width="16" style="16" bestFit="1" customWidth="1"/>
    <col min="9" max="10" width="14.85546875" style="16" customWidth="1"/>
    <col min="11" max="11" width="16" style="16" bestFit="1" customWidth="1"/>
    <col min="12" max="12" width="16.7109375" style="16" bestFit="1" customWidth="1"/>
    <col min="13" max="13" width="16.85546875" style="16" bestFit="1" customWidth="1"/>
    <col min="14" max="14" width="17.42578125" style="16" customWidth="1"/>
    <col min="15" max="16384" width="11.42578125" style="16"/>
  </cols>
  <sheetData>
    <row r="1" spans="1:13" x14ac:dyDescent="0.2">
      <c r="A1" s="1" t="s">
        <v>0</v>
      </c>
      <c r="B1"/>
      <c r="C1"/>
      <c r="D1"/>
      <c r="G1" s="16">
        <f>InfoInicial!E1</f>
        <v>8</v>
      </c>
      <c r="H1" s="2"/>
    </row>
    <row r="2" spans="1:13" ht="15.75" x14ac:dyDescent="0.25">
      <c r="A2" s="117" t="s">
        <v>237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8"/>
    </row>
    <row r="3" spans="1:13" ht="38.25" x14ac:dyDescent="0.2">
      <c r="A3" s="121" t="s">
        <v>238</v>
      </c>
      <c r="B3" s="110" t="s">
        <v>239</v>
      </c>
      <c r="C3" s="110" t="s">
        <v>240</v>
      </c>
      <c r="D3" s="110" t="s">
        <v>241</v>
      </c>
      <c r="E3" s="110" t="s">
        <v>5</v>
      </c>
      <c r="F3" s="110" t="s">
        <v>242</v>
      </c>
      <c r="G3" s="110" t="s">
        <v>243</v>
      </c>
      <c r="H3" s="110" t="s">
        <v>244</v>
      </c>
      <c r="I3" s="110" t="s">
        <v>102</v>
      </c>
      <c r="J3" s="110" t="s">
        <v>245</v>
      </c>
      <c r="K3" s="110" t="s">
        <v>246</v>
      </c>
      <c r="L3" s="131" t="s">
        <v>247</v>
      </c>
      <c r="M3" s="132" t="s">
        <v>248</v>
      </c>
    </row>
    <row r="4" spans="1:13" x14ac:dyDescent="0.2">
      <c r="A4" s="133">
        <v>0</v>
      </c>
      <c r="B4" s="134">
        <f>+'E-Cal Inv.'!B8+'E-Cal Inv.'!C8</f>
        <v>12367291.402444733</v>
      </c>
      <c r="C4" s="62">
        <f>+'E-Cal Inv.'!C18</f>
        <v>545295.90054106526</v>
      </c>
      <c r="D4" s="62">
        <f>+'E-Cal Inv.'!B23+'E-Cal Inv.'!C23</f>
        <v>2671585.4136270178</v>
      </c>
      <c r="E4" s="62">
        <v>0</v>
      </c>
      <c r="F4" s="62">
        <v>0</v>
      </c>
      <c r="G4" s="62">
        <f t="shared" ref="G4:G9" si="0">+SUM(B4:F4)</f>
        <v>15584172.716612816</v>
      </c>
      <c r="H4" s="62">
        <v>0</v>
      </c>
      <c r="I4" s="378">
        <v>0</v>
      </c>
      <c r="J4" s="62">
        <v>0</v>
      </c>
      <c r="K4" s="62">
        <f t="shared" ref="K4:K9" si="1">+SUM(H4:J4)</f>
        <v>0</v>
      </c>
      <c r="L4" s="135">
        <f>+K4-G4</f>
        <v>-15584172.716612816</v>
      </c>
      <c r="M4" s="63">
        <f>+L4</f>
        <v>-15584172.716612816</v>
      </c>
    </row>
    <row r="5" spans="1:13" x14ac:dyDescent="0.2">
      <c r="A5" s="136">
        <v>1</v>
      </c>
      <c r="B5" s="125">
        <f>+'E-Cal Inv.'!D8</f>
        <v>87468.89206762785</v>
      </c>
      <c r="C5" s="64">
        <f>+'E-Cal Inv.'!D18</f>
        <v>890922.7009532752</v>
      </c>
      <c r="D5" s="64">
        <f>+'E-Cal Inv.'!D23</f>
        <v>127457.826569119</v>
      </c>
      <c r="E5" s="64">
        <f>+'E-Costos'!B119</f>
        <v>713086.71359988686</v>
      </c>
      <c r="F5" s="64">
        <f>+'E-Costos'!B120</f>
        <v>2246223.1478396435</v>
      </c>
      <c r="G5" s="62">
        <f t="shared" si="0"/>
        <v>4065159.2810295522</v>
      </c>
      <c r="H5" s="64">
        <f>+'E-Costos'!B118</f>
        <v>7130867.1359988684</v>
      </c>
      <c r="I5" s="379">
        <f>+'E-Inv AF y Am'!D56</f>
        <v>658553.3255691391</v>
      </c>
      <c r="J5" s="64">
        <f>+'E-IVA '!C28</f>
        <v>1972612.5045185005</v>
      </c>
      <c r="K5" s="62">
        <f t="shared" si="1"/>
        <v>9762032.9660865068</v>
      </c>
      <c r="L5" s="135">
        <f t="shared" ref="L5:L11" si="2">+K5-G5</f>
        <v>5696873.6850569546</v>
      </c>
      <c r="M5" s="65">
        <f>+M4+L5</f>
        <v>-9887299.0315558612</v>
      </c>
    </row>
    <row r="6" spans="1:13" x14ac:dyDescent="0.2">
      <c r="A6" s="136">
        <v>2</v>
      </c>
      <c r="B6" s="125">
        <f>+'E-Cal Inv.'!E8</f>
        <v>0</v>
      </c>
      <c r="C6" s="64">
        <f>+'E-Cal Inv.'!E18</f>
        <v>48954.421876036678</v>
      </c>
      <c r="D6" s="64">
        <f>+'E-Cal Inv.'!E23</f>
        <v>114309.90725680024</v>
      </c>
      <c r="E6" s="64">
        <f>+'E-Costos'!C119</f>
        <v>843406.1770963762</v>
      </c>
      <c r="F6" s="64">
        <f>+'E-Costos'!C120</f>
        <v>2656729.457853585</v>
      </c>
      <c r="G6" s="62">
        <f t="shared" si="0"/>
        <v>3663399.964082798</v>
      </c>
      <c r="H6" s="64">
        <f>+'E-Costos'!C118</f>
        <v>8434061.770963762</v>
      </c>
      <c r="I6" s="379">
        <f>+'E-Inv AF y Am'!D56</f>
        <v>658553.3255691391</v>
      </c>
      <c r="J6" s="64">
        <f>+'E-IVA '!D28</f>
        <v>940740.64293443644</v>
      </c>
      <c r="K6" s="62">
        <f t="shared" si="1"/>
        <v>10033355.739467338</v>
      </c>
      <c r="L6" s="135">
        <f t="shared" si="2"/>
        <v>6369955.7753845397</v>
      </c>
      <c r="M6" s="65">
        <f>+M5+L6</f>
        <v>-3517343.2561713215</v>
      </c>
    </row>
    <row r="7" spans="1:13" x14ac:dyDescent="0.2">
      <c r="A7" s="136">
        <v>3</v>
      </c>
      <c r="B7" s="125">
        <f>+'E-Cal Inv.'!F8</f>
        <v>0</v>
      </c>
      <c r="C7" s="64">
        <f>+'E-Cal Inv.'!F18</f>
        <v>57.574529511242872</v>
      </c>
      <c r="D7" s="64">
        <f>+'E-Cal Inv.'!F23</f>
        <v>114307.5839151773</v>
      </c>
      <c r="E7" s="64">
        <f>+'E-Costos'!D119</f>
        <v>843306.71956362843</v>
      </c>
      <c r="F7" s="64">
        <f>+'E-Costos'!D120</f>
        <v>2656416.1666254289</v>
      </c>
      <c r="G7" s="62">
        <f t="shared" si="0"/>
        <v>3614088.0446337461</v>
      </c>
      <c r="H7" s="64">
        <f>+'E-Costos'!D118</f>
        <v>8433067.1956362836</v>
      </c>
      <c r="I7" s="379">
        <f>+'E-Inv AF y Am'!D56</f>
        <v>658553.3255691391</v>
      </c>
      <c r="J7" s="64">
        <f>+'E-IVA '!E28</f>
        <v>114307.5839151773</v>
      </c>
      <c r="K7" s="62">
        <f t="shared" si="1"/>
        <v>9205928.1051206011</v>
      </c>
      <c r="L7" s="135">
        <f t="shared" si="2"/>
        <v>5591840.060486855</v>
      </c>
      <c r="M7" s="65">
        <f>+M6+L7</f>
        <v>2074496.8043155335</v>
      </c>
    </row>
    <row r="8" spans="1:13" x14ac:dyDescent="0.2">
      <c r="A8" s="136">
        <v>4</v>
      </c>
      <c r="B8" s="125">
        <f>+'E-Cal Inv.'!G8</f>
        <v>0</v>
      </c>
      <c r="C8" s="64">
        <f>+'E-Cal Inv.'!G18</f>
        <v>-14.43068130874417</v>
      </c>
      <c r="D8" s="64">
        <f>+'E-Cal Inv.'!G23</f>
        <v>114279.13765993755</v>
      </c>
      <c r="E8" s="64">
        <f>+'E-Costos'!E119</f>
        <v>843699.85171361663</v>
      </c>
      <c r="F8" s="64">
        <f>+'E-Costos'!E120</f>
        <v>2657654.5328978919</v>
      </c>
      <c r="G8" s="62">
        <f t="shared" si="0"/>
        <v>3615619.0915901372</v>
      </c>
      <c r="H8" s="64">
        <f>+'E-Costos'!E118</f>
        <v>8436998.5171361659</v>
      </c>
      <c r="I8" s="379">
        <f>+'E-Inv AF y Am'!E56</f>
        <v>654772.65890247247</v>
      </c>
      <c r="J8" s="64">
        <f>+'E-IVA '!F28</f>
        <v>114279.13765993755</v>
      </c>
      <c r="K8" s="62">
        <f t="shared" si="1"/>
        <v>9206050.3136985749</v>
      </c>
      <c r="L8" s="135">
        <f t="shared" si="2"/>
        <v>5590431.2221084377</v>
      </c>
      <c r="M8" s="65">
        <f>+M7+L8</f>
        <v>7664928.0264239712</v>
      </c>
    </row>
    <row r="9" spans="1:13" x14ac:dyDescent="0.2">
      <c r="A9" s="136">
        <v>5</v>
      </c>
      <c r="B9" s="125">
        <f>-'E-Inv AF y Am'!G56</f>
        <v>-9169555</v>
      </c>
      <c r="C9" s="64">
        <f>-'E-Cal Inv.'!I18+'E-Cal Inv.'!H18</f>
        <v>-1485216.1672185797</v>
      </c>
      <c r="D9" s="64">
        <f>+'E-Cal Inv.'!H23</f>
        <v>114279.06240621736</v>
      </c>
      <c r="E9" s="64">
        <f>+'E-Costos'!F119</f>
        <v>843712.32141501049</v>
      </c>
      <c r="F9" s="64">
        <f>+'E-Costos'!F120</f>
        <v>2657693.8124572826</v>
      </c>
      <c r="G9" s="62">
        <f t="shared" si="0"/>
        <v>-7039085.9709400684</v>
      </c>
      <c r="H9" s="64">
        <f>+'E-Costos'!F118</f>
        <v>8437123.2141501047</v>
      </c>
      <c r="I9" s="379">
        <f>+'E-Inv AF y Am'!E56</f>
        <v>654772.65890247247</v>
      </c>
      <c r="J9" s="64">
        <f>+'E-IVA '!G28</f>
        <v>114279.06240621736</v>
      </c>
      <c r="K9" s="62">
        <f t="shared" si="1"/>
        <v>9206174.9354587942</v>
      </c>
      <c r="L9" s="135">
        <f t="shared" si="2"/>
        <v>16245260.906398863</v>
      </c>
      <c r="M9" s="65">
        <f>+M8+L9</f>
        <v>23910188.932822835</v>
      </c>
    </row>
    <row r="10" spans="1:13" x14ac:dyDescent="0.2">
      <c r="A10" s="136"/>
      <c r="B10" s="127"/>
      <c r="C10" s="85"/>
      <c r="D10" s="85"/>
      <c r="E10" s="85"/>
      <c r="F10" s="85"/>
      <c r="G10" s="85"/>
      <c r="H10" s="85"/>
      <c r="I10" s="380"/>
      <c r="J10" s="85"/>
      <c r="K10" s="85"/>
      <c r="L10" s="115"/>
      <c r="M10" s="86"/>
    </row>
    <row r="11" spans="1:13" ht="13.5" thickBot="1" x14ac:dyDescent="0.25">
      <c r="A11" s="137" t="s">
        <v>249</v>
      </c>
      <c r="B11" s="130">
        <f>+SUM(B4:B9)</f>
        <v>3285205.2945123613</v>
      </c>
      <c r="C11" s="130">
        <f t="shared" ref="C11:K11" si="3">+SUM(C4:C9)</f>
        <v>0</v>
      </c>
      <c r="D11" s="130">
        <f t="shared" si="3"/>
        <v>3256218.9314342691</v>
      </c>
      <c r="E11" s="130">
        <f t="shared" si="3"/>
        <v>4087211.7833885183</v>
      </c>
      <c r="F11" s="130">
        <f t="shared" si="3"/>
        <v>12874717.117673831</v>
      </c>
      <c r="G11" s="130">
        <f t="shared" si="3"/>
        <v>23503353.127008982</v>
      </c>
      <c r="H11" s="130">
        <f>+SUM(H4:H9)</f>
        <v>40872117.833885178</v>
      </c>
      <c r="I11" s="381">
        <f t="shared" si="3"/>
        <v>3285205.2945123622</v>
      </c>
      <c r="J11" s="130">
        <f t="shared" si="3"/>
        <v>3256218.9314342691</v>
      </c>
      <c r="K11" s="130">
        <f t="shared" si="3"/>
        <v>47413542.059831813</v>
      </c>
      <c r="L11" s="130">
        <f t="shared" si="2"/>
        <v>23910188.932822831</v>
      </c>
      <c r="M11" s="71"/>
    </row>
    <row r="12" spans="1:13" ht="13.5" thickTop="1" x14ac:dyDescent="0.2"/>
    <row r="13" spans="1:13" x14ac:dyDescent="0.2">
      <c r="C13" s="138" t="s">
        <v>250</v>
      </c>
      <c r="D13" s="139">
        <f>+L11</f>
        <v>23910188.932822831</v>
      </c>
    </row>
    <row r="14" spans="1:13" x14ac:dyDescent="0.2">
      <c r="A14" s="74"/>
      <c r="C14" s="138" t="s">
        <v>251</v>
      </c>
      <c r="D14" s="140"/>
      <c r="E14" s="16" t="s">
        <v>252</v>
      </c>
    </row>
    <row r="15" spans="1:13" x14ac:dyDescent="0.2">
      <c r="C15" s="138" t="s">
        <v>253</v>
      </c>
      <c r="D15" s="141">
        <f>+IRR(L4:L9)</f>
        <v>0.34100004280507856</v>
      </c>
    </row>
    <row r="16" spans="1:13" x14ac:dyDescent="0.2">
      <c r="L16" s="402" t="s">
        <v>254</v>
      </c>
      <c r="M16" s="402"/>
    </row>
    <row r="17" spans="3:13" x14ac:dyDescent="0.2">
      <c r="J17" s="142"/>
      <c r="L17" s="402" t="s">
        <v>255</v>
      </c>
      <c r="M17" s="402"/>
    </row>
    <row r="18" spans="3:13" x14ac:dyDescent="0.2">
      <c r="C18" s="382">
        <f>+B11-I11</f>
        <v>0</v>
      </c>
      <c r="L18" s="143" t="s">
        <v>102</v>
      </c>
      <c r="M18" s="144" t="str">
        <f>IF(B11=I11,"OK","MAL")</f>
        <v>OK</v>
      </c>
    </row>
    <row r="19" spans="3:13" x14ac:dyDescent="0.2">
      <c r="L19" s="143" t="s">
        <v>256</v>
      </c>
      <c r="M19" s="144" t="str">
        <f>IF(D11=J11,"OK","MAL")</f>
        <v>OK</v>
      </c>
    </row>
    <row r="20" spans="3:13" x14ac:dyDescent="0.2">
      <c r="L20" s="143" t="s">
        <v>257</v>
      </c>
      <c r="M20" s="144" t="str">
        <f>IF(C11=0,"OK","MAL")</f>
        <v>OK</v>
      </c>
    </row>
    <row r="21" spans="3:13" x14ac:dyDescent="0.2">
      <c r="L21" s="143" t="s">
        <v>258</v>
      </c>
      <c r="M21" s="144" t="str">
        <f>IF((H11-F11-E11)=L11,IF(L11=M9,"OK","MAL"),"MAL")</f>
        <v>OK</v>
      </c>
    </row>
  </sheetData>
  <sheetProtection selectLockedCells="1" selectUnlockedCells="1"/>
  <mergeCells count="2">
    <mergeCell ref="L16:M16"/>
    <mergeCell ref="L17:M17"/>
  </mergeCells>
  <conditionalFormatting sqref="M18">
    <cfRule type="cellIs" dxfId="41" priority="1" stopIfTrue="1" operator="equal">
      <formula>"OK"</formula>
    </cfRule>
    <cfRule type="cellIs" dxfId="40" priority="2" stopIfTrue="1" operator="equal">
      <formula>"MAL"</formula>
    </cfRule>
  </conditionalFormatting>
  <conditionalFormatting sqref="M19">
    <cfRule type="cellIs" dxfId="39" priority="3" stopIfTrue="1" operator="equal">
      <formula>"OK"</formula>
    </cfRule>
    <cfRule type="cellIs" dxfId="38" priority="4" stopIfTrue="1" operator="equal">
      <formula>"MAL"</formula>
    </cfRule>
  </conditionalFormatting>
  <conditionalFormatting sqref="M20">
    <cfRule type="cellIs" dxfId="37" priority="5" stopIfTrue="1" operator="equal">
      <formula>"OK"</formula>
    </cfRule>
    <cfRule type="cellIs" dxfId="36" priority="6" stopIfTrue="1" operator="equal">
      <formula>"MAL"</formula>
    </cfRule>
  </conditionalFormatting>
  <conditionalFormatting sqref="M21">
    <cfRule type="cellIs" dxfId="35" priority="7" stopIfTrue="1" operator="equal">
      <formula>"OK"</formula>
    </cfRule>
    <cfRule type="cellIs" dxfId="34" priority="8" stopIfTrue="1" operator="equal">
      <formula>"MAL"</formula>
    </cfRule>
  </conditionalFormatting>
  <conditionalFormatting sqref="J17">
    <cfRule type="cellIs" dxfId="33" priority="9" stopIfTrue="1" operator="equal">
      <formula>"OK"</formula>
    </cfRule>
    <cfRule type="cellIs" dxfId="32" priority="10" stopIfTrue="1" operator="equal">
      <formula>"MAL"</formula>
    </cfRule>
  </conditionalFormatting>
  <pageMargins left="0.25972222222222224" right="0.4597222222222222" top="1.2701388888888889" bottom="1" header="0.51180555555555551" footer="0.51180555555555551"/>
  <pageSetup paperSize="9" firstPageNumber="0" fitToHeight="4" orientation="landscape" horizontalDpi="300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4"/>
  <sheetViews>
    <sheetView topLeftCell="A2" zoomScale="90" zoomScaleNormal="90" workbookViewId="0">
      <selection activeCell="F1" sqref="F1"/>
    </sheetView>
  </sheetViews>
  <sheetFormatPr baseColWidth="10" defaultRowHeight="12.75" x14ac:dyDescent="0.2"/>
  <cols>
    <col min="1" max="1" width="27.140625" style="16" customWidth="1"/>
    <col min="2" max="9" width="15" style="16" customWidth="1"/>
    <col min="10" max="16384" width="11.42578125" style="16"/>
  </cols>
  <sheetData>
    <row r="1" spans="1:9" x14ac:dyDescent="0.2">
      <c r="A1" s="1" t="s">
        <v>0</v>
      </c>
      <c r="B1"/>
      <c r="C1"/>
      <c r="D1"/>
      <c r="F1" s="145">
        <f>InfoInicial!E1</f>
        <v>8</v>
      </c>
      <c r="G1" s="2"/>
    </row>
    <row r="2" spans="1:9" ht="15.75" x14ac:dyDescent="0.25">
      <c r="A2" s="146" t="s">
        <v>259</v>
      </c>
      <c r="B2" s="90"/>
      <c r="C2" s="90"/>
      <c r="D2" s="90"/>
      <c r="E2" s="90"/>
      <c r="F2" s="90"/>
      <c r="G2" s="91"/>
    </row>
    <row r="3" spans="1:9" x14ac:dyDescent="0.2">
      <c r="A3" s="59" t="s">
        <v>94</v>
      </c>
      <c r="B3" s="403" t="s">
        <v>260</v>
      </c>
      <c r="C3" s="403"/>
      <c r="D3" s="403" t="s">
        <v>261</v>
      </c>
      <c r="E3" s="403"/>
      <c r="F3" s="404" t="s">
        <v>262</v>
      </c>
      <c r="G3" s="404"/>
    </row>
    <row r="4" spans="1:9" x14ac:dyDescent="0.2">
      <c r="A4" s="59" t="s">
        <v>80</v>
      </c>
      <c r="B4" s="147" t="s">
        <v>263</v>
      </c>
      <c r="C4" s="147" t="s">
        <v>264</v>
      </c>
      <c r="D4" s="147" t="s">
        <v>263</v>
      </c>
      <c r="E4" s="147" t="s">
        <v>264</v>
      </c>
      <c r="F4" s="147" t="s">
        <v>263</v>
      </c>
      <c r="G4" s="148" t="s">
        <v>264</v>
      </c>
    </row>
    <row r="5" spans="1:9" x14ac:dyDescent="0.2">
      <c r="A5" s="29" t="s">
        <v>265</v>
      </c>
      <c r="B5" s="64"/>
      <c r="C5" s="87"/>
      <c r="D5" s="64"/>
      <c r="E5" s="87"/>
      <c r="F5" s="64"/>
      <c r="G5" s="88"/>
    </row>
    <row r="6" spans="1:9" x14ac:dyDescent="0.2">
      <c r="A6" s="27" t="s">
        <v>266</v>
      </c>
      <c r="B6" s="64"/>
      <c r="C6" s="87"/>
      <c r="D6" s="64"/>
      <c r="E6" s="87"/>
      <c r="F6" s="64"/>
      <c r="G6" s="88"/>
    </row>
    <row r="7" spans="1:9" x14ac:dyDescent="0.2">
      <c r="A7" s="27" t="s">
        <v>267</v>
      </c>
      <c r="B7" s="64"/>
      <c r="C7" s="87"/>
      <c r="D7" s="64"/>
      <c r="E7" s="98"/>
      <c r="F7" s="64"/>
      <c r="G7" s="88"/>
    </row>
    <row r="8" spans="1:9" x14ac:dyDescent="0.2">
      <c r="A8" s="35" t="s">
        <v>198</v>
      </c>
      <c r="B8" s="149"/>
      <c r="C8" s="150"/>
      <c r="D8" s="149"/>
      <c r="E8" s="150"/>
      <c r="F8" s="149"/>
      <c r="G8" s="151"/>
    </row>
    <row r="9" spans="1:9" x14ac:dyDescent="0.2">
      <c r="A9" s="74"/>
      <c r="B9" s="55"/>
      <c r="C9" s="152"/>
      <c r="D9" s="55"/>
      <c r="E9" s="55"/>
      <c r="F9" s="55"/>
      <c r="G9" s="55"/>
    </row>
    <row r="10" spans="1:9" ht="15.75" x14ac:dyDescent="0.25">
      <c r="A10" s="153" t="s">
        <v>268</v>
      </c>
      <c r="B10" s="154"/>
      <c r="C10" s="154"/>
      <c r="D10" s="154"/>
      <c r="E10" s="154"/>
      <c r="F10" s="154"/>
      <c r="G10" s="154"/>
      <c r="H10" s="154"/>
      <c r="I10" s="155"/>
    </row>
    <row r="11" spans="1:9" x14ac:dyDescent="0.2">
      <c r="A11" s="156" t="s">
        <v>269</v>
      </c>
      <c r="B11" s="157" t="s">
        <v>270</v>
      </c>
      <c r="C11" s="157" t="s">
        <v>271</v>
      </c>
      <c r="D11" s="157" t="s">
        <v>272</v>
      </c>
      <c r="E11" s="157" t="s">
        <v>271</v>
      </c>
      <c r="F11" s="157" t="s">
        <v>273</v>
      </c>
      <c r="G11" s="157" t="s">
        <v>272</v>
      </c>
      <c r="H11" s="157"/>
      <c r="I11" s="158" t="s">
        <v>274</v>
      </c>
    </row>
    <row r="12" spans="1:9" x14ac:dyDescent="0.2">
      <c r="A12" s="159"/>
      <c r="B12" s="160"/>
      <c r="C12" s="160" t="s">
        <v>275</v>
      </c>
      <c r="D12" s="160" t="s">
        <v>275</v>
      </c>
      <c r="E12" s="160" t="s">
        <v>41</v>
      </c>
      <c r="F12" s="160" t="s">
        <v>276</v>
      </c>
      <c r="G12" s="160" t="s">
        <v>41</v>
      </c>
      <c r="H12" s="160" t="s">
        <v>277</v>
      </c>
      <c r="I12" s="161" t="s">
        <v>278</v>
      </c>
    </row>
    <row r="13" spans="1:9" x14ac:dyDescent="0.2">
      <c r="A13" s="162"/>
      <c r="B13" s="83"/>
      <c r="C13" s="83"/>
      <c r="D13" s="83"/>
      <c r="E13" s="83"/>
      <c r="F13" s="163"/>
      <c r="G13" s="83"/>
      <c r="H13" s="164"/>
      <c r="I13" s="84"/>
    </row>
    <row r="14" spans="1:9" x14ac:dyDescent="0.2">
      <c r="A14" s="165"/>
      <c r="B14" s="64"/>
      <c r="C14" s="64"/>
      <c r="D14" s="64"/>
      <c r="E14" s="64"/>
      <c r="F14" s="28"/>
      <c r="G14" s="64"/>
      <c r="H14" s="98"/>
      <c r="I14" s="65"/>
    </row>
    <row r="15" spans="1:9" x14ac:dyDescent="0.2">
      <c r="A15" s="165"/>
      <c r="B15" s="64"/>
      <c r="C15" s="64"/>
      <c r="D15" s="64"/>
      <c r="E15" s="64"/>
      <c r="F15" s="28"/>
      <c r="G15" s="64"/>
      <c r="H15" s="98"/>
      <c r="I15" s="65"/>
    </row>
    <row r="16" spans="1:9" x14ac:dyDescent="0.2">
      <c r="A16" s="165"/>
      <c r="B16" s="64"/>
      <c r="C16" s="64"/>
      <c r="D16" s="64"/>
      <c r="E16" s="64"/>
      <c r="F16" s="28"/>
      <c r="G16" s="64"/>
      <c r="H16" s="98"/>
      <c r="I16" s="65"/>
    </row>
    <row r="17" spans="1:9" x14ac:dyDescent="0.2">
      <c r="A17" s="165"/>
      <c r="B17" s="64"/>
      <c r="C17" s="64"/>
      <c r="D17" s="64"/>
      <c r="E17" s="64"/>
      <c r="F17" s="28"/>
      <c r="G17" s="64"/>
      <c r="H17" s="98"/>
      <c r="I17" s="65"/>
    </row>
    <row r="18" spans="1:9" x14ac:dyDescent="0.2">
      <c r="A18" s="165"/>
      <c r="B18" s="64"/>
      <c r="C18" s="64"/>
      <c r="D18" s="64"/>
      <c r="E18" s="64"/>
      <c r="F18" s="28"/>
      <c r="G18" s="64"/>
      <c r="H18" s="98"/>
      <c r="I18" s="65"/>
    </row>
    <row r="19" spans="1:9" x14ac:dyDescent="0.2">
      <c r="A19" s="165"/>
      <c r="B19" s="64"/>
      <c r="C19" s="64"/>
      <c r="D19" s="64"/>
      <c r="E19" s="64"/>
      <c r="F19" s="28"/>
      <c r="G19" s="64"/>
      <c r="H19" s="98"/>
      <c r="I19" s="65"/>
    </row>
    <row r="20" spans="1:9" x14ac:dyDescent="0.2">
      <c r="A20" s="166"/>
      <c r="B20" s="70"/>
      <c r="C20" s="70"/>
      <c r="D20" s="78"/>
      <c r="E20" s="70"/>
      <c r="F20" s="32"/>
      <c r="G20" s="78"/>
      <c r="H20" s="167"/>
      <c r="I20" s="79"/>
    </row>
    <row r="21" spans="1:9" x14ac:dyDescent="0.2">
      <c r="A21" s="168" t="s">
        <v>279</v>
      </c>
      <c r="B21" s="169"/>
      <c r="C21" s="169"/>
      <c r="D21" s="170"/>
      <c r="E21" s="169"/>
      <c r="F21" s="171"/>
      <c r="G21" s="170"/>
      <c r="H21" s="172"/>
      <c r="I21" s="170"/>
    </row>
    <row r="22" spans="1:9" x14ac:dyDescent="0.2">
      <c r="A22" s="162"/>
      <c r="B22" s="83"/>
      <c r="C22" s="83"/>
      <c r="D22" s="62"/>
      <c r="E22" s="83"/>
      <c r="F22" s="163"/>
      <c r="G22" s="62"/>
      <c r="H22" s="164"/>
      <c r="I22" s="63"/>
    </row>
    <row r="23" spans="1:9" x14ac:dyDescent="0.2">
      <c r="A23" s="165"/>
      <c r="B23" s="64"/>
      <c r="C23" s="64"/>
      <c r="D23" s="64"/>
      <c r="E23" s="64"/>
      <c r="F23" s="28"/>
      <c r="G23" s="64"/>
      <c r="H23" s="98"/>
      <c r="I23" s="65"/>
    </row>
    <row r="24" spans="1:9" x14ac:dyDescent="0.2">
      <c r="A24" s="173"/>
      <c r="B24" s="64"/>
      <c r="C24" s="64"/>
      <c r="D24" s="64"/>
      <c r="E24" s="64"/>
      <c r="F24" s="64"/>
      <c r="G24" s="64"/>
      <c r="H24" s="87"/>
      <c r="I24" s="65"/>
    </row>
    <row r="25" spans="1:9" x14ac:dyDescent="0.2">
      <c r="A25" s="173"/>
      <c r="B25" s="64"/>
      <c r="C25" s="64"/>
      <c r="D25" s="64"/>
      <c r="E25" s="64"/>
      <c r="F25" s="64"/>
      <c r="G25" s="64"/>
      <c r="H25" s="87"/>
      <c r="I25" s="65"/>
    </row>
    <row r="26" spans="1:9" x14ac:dyDescent="0.2">
      <c r="A26" s="173"/>
      <c r="B26" s="64"/>
      <c r="C26" s="64"/>
      <c r="D26" s="64"/>
      <c r="E26" s="64"/>
      <c r="F26" s="64"/>
      <c r="G26" s="64"/>
      <c r="H26" s="87"/>
      <c r="I26" s="65"/>
    </row>
    <row r="27" spans="1:9" x14ac:dyDescent="0.2">
      <c r="A27" s="173"/>
      <c r="B27" s="64"/>
      <c r="C27" s="64"/>
      <c r="D27" s="64"/>
      <c r="E27" s="64"/>
      <c r="F27" s="64"/>
      <c r="G27" s="64"/>
      <c r="H27" s="87"/>
      <c r="I27" s="65"/>
    </row>
    <row r="28" spans="1:9" x14ac:dyDescent="0.2">
      <c r="A28" s="173"/>
      <c r="B28" s="64"/>
      <c r="C28" s="64"/>
      <c r="D28" s="64"/>
      <c r="E28" s="64"/>
      <c r="F28" s="64"/>
      <c r="G28" s="64"/>
      <c r="H28" s="87"/>
      <c r="I28" s="65"/>
    </row>
    <row r="29" spans="1:9" x14ac:dyDescent="0.2">
      <c r="A29" s="173"/>
      <c r="B29" s="64"/>
      <c r="C29" s="64"/>
      <c r="D29" s="64"/>
      <c r="E29" s="64"/>
      <c r="F29" s="64"/>
      <c r="G29" s="64"/>
      <c r="H29" s="87"/>
      <c r="I29" s="65"/>
    </row>
    <row r="30" spans="1:9" x14ac:dyDescent="0.2">
      <c r="A30" s="173"/>
      <c r="B30" s="64"/>
      <c r="C30" s="64"/>
      <c r="D30" s="64"/>
      <c r="E30" s="64"/>
      <c r="F30" s="64"/>
      <c r="G30" s="64"/>
      <c r="H30" s="87"/>
      <c r="I30" s="65"/>
    </row>
    <row r="31" spans="1:9" x14ac:dyDescent="0.2">
      <c r="A31" s="173"/>
      <c r="B31" s="64"/>
      <c r="C31" s="64"/>
      <c r="D31" s="64"/>
      <c r="E31" s="64"/>
      <c r="F31" s="64"/>
      <c r="G31" s="64"/>
      <c r="H31" s="87"/>
      <c r="I31" s="65"/>
    </row>
    <row r="32" spans="1:9" x14ac:dyDescent="0.2">
      <c r="A32" s="173"/>
      <c r="B32" s="64"/>
      <c r="C32" s="64"/>
      <c r="D32" s="64"/>
      <c r="E32" s="64"/>
      <c r="F32" s="64"/>
      <c r="G32" s="64"/>
      <c r="H32" s="87"/>
      <c r="I32" s="65"/>
    </row>
    <row r="33" spans="1:9" x14ac:dyDescent="0.2">
      <c r="A33" s="173"/>
      <c r="B33" s="64"/>
      <c r="C33" s="64"/>
      <c r="D33" s="64"/>
      <c r="E33" s="64"/>
      <c r="F33" s="64"/>
      <c r="G33" s="64"/>
      <c r="H33" s="87"/>
      <c r="I33" s="65"/>
    </row>
    <row r="34" spans="1:9" x14ac:dyDescent="0.2">
      <c r="A34" s="173"/>
      <c r="B34" s="64"/>
      <c r="C34" s="64"/>
      <c r="D34" s="64"/>
      <c r="E34" s="64"/>
      <c r="F34" s="64"/>
      <c r="G34" s="64"/>
      <c r="H34" s="87"/>
      <c r="I34" s="65"/>
    </row>
    <row r="35" spans="1:9" x14ac:dyDescent="0.2">
      <c r="A35" s="173"/>
      <c r="B35" s="64"/>
      <c r="C35" s="64"/>
      <c r="D35" s="64"/>
      <c r="E35" s="64"/>
      <c r="F35" s="28"/>
      <c r="G35" s="64"/>
      <c r="H35" s="98"/>
      <c r="I35" s="65"/>
    </row>
    <row r="36" spans="1:9" x14ac:dyDescent="0.2">
      <c r="A36" s="173"/>
      <c r="B36" s="64"/>
      <c r="C36" s="64"/>
      <c r="D36" s="64"/>
      <c r="E36" s="64"/>
      <c r="F36" s="64"/>
      <c r="G36" s="64"/>
      <c r="H36" s="87"/>
      <c r="I36" s="65"/>
    </row>
    <row r="37" spans="1:9" x14ac:dyDescent="0.2">
      <c r="A37" s="173"/>
      <c r="B37" s="64"/>
      <c r="C37" s="64"/>
      <c r="D37" s="64"/>
      <c r="E37" s="64"/>
      <c r="F37" s="28"/>
      <c r="G37" s="64"/>
      <c r="H37" s="98"/>
      <c r="I37" s="65"/>
    </row>
    <row r="38" spans="1:9" x14ac:dyDescent="0.2">
      <c r="A38" s="173"/>
      <c r="B38" s="64"/>
      <c r="C38" s="64"/>
      <c r="D38" s="64"/>
      <c r="E38" s="64"/>
      <c r="F38" s="64"/>
      <c r="G38" s="64"/>
      <c r="H38" s="87"/>
      <c r="I38" s="65"/>
    </row>
    <row r="39" spans="1:9" x14ac:dyDescent="0.2">
      <c r="A39" s="173"/>
      <c r="B39" s="64"/>
      <c r="C39" s="64"/>
      <c r="D39" s="64"/>
      <c r="E39" s="64"/>
      <c r="F39" s="28"/>
      <c r="G39" s="64"/>
      <c r="H39" s="98"/>
      <c r="I39" s="65"/>
    </row>
    <row r="40" spans="1:9" x14ac:dyDescent="0.2">
      <c r="A40" s="173"/>
      <c r="B40" s="64"/>
      <c r="C40" s="64"/>
      <c r="D40" s="64"/>
      <c r="E40" s="64"/>
      <c r="F40" s="64"/>
      <c r="G40" s="64"/>
      <c r="H40" s="87"/>
      <c r="I40" s="65"/>
    </row>
    <row r="41" spans="1:9" x14ac:dyDescent="0.2">
      <c r="A41" s="173"/>
      <c r="B41" s="64"/>
      <c r="C41" s="64"/>
      <c r="D41" s="64"/>
      <c r="E41" s="64"/>
      <c r="F41" s="28"/>
      <c r="G41" s="64"/>
      <c r="H41" s="98"/>
      <c r="I41" s="65"/>
    </row>
    <row r="42" spans="1:9" x14ac:dyDescent="0.2">
      <c r="A42" s="173"/>
      <c r="B42" s="64"/>
      <c r="C42" s="64"/>
      <c r="D42" s="64"/>
      <c r="E42" s="64"/>
      <c r="F42" s="64"/>
      <c r="G42" s="64"/>
      <c r="H42" s="87"/>
      <c r="I42" s="65"/>
    </row>
    <row r="43" spans="1:9" x14ac:dyDescent="0.2">
      <c r="A43" s="173"/>
      <c r="B43" s="64"/>
      <c r="C43" s="64"/>
      <c r="D43" s="64"/>
      <c r="E43" s="64"/>
      <c r="F43" s="28"/>
      <c r="G43" s="64"/>
      <c r="H43" s="98"/>
      <c r="I43" s="65"/>
    </row>
    <row r="44" spans="1:9" x14ac:dyDescent="0.2">
      <c r="A44" s="173"/>
      <c r="B44" s="64"/>
      <c r="C44" s="64"/>
      <c r="D44" s="64"/>
      <c r="E44" s="64"/>
      <c r="F44" s="64"/>
      <c r="G44" s="64"/>
      <c r="H44" s="87"/>
      <c r="I44" s="65"/>
    </row>
    <row r="45" spans="1:9" x14ac:dyDescent="0.2">
      <c r="A45" s="173"/>
      <c r="B45" s="64"/>
      <c r="C45" s="64"/>
      <c r="D45" s="64"/>
      <c r="E45" s="64"/>
      <c r="F45" s="28"/>
      <c r="G45" s="64"/>
      <c r="H45" s="98"/>
      <c r="I45" s="65"/>
    </row>
    <row r="46" spans="1:9" x14ac:dyDescent="0.2">
      <c r="A46" s="173"/>
      <c r="B46" s="64"/>
      <c r="C46" s="64"/>
      <c r="D46" s="64"/>
      <c r="E46" s="64"/>
      <c r="F46" s="64"/>
      <c r="G46" s="64"/>
      <c r="H46" s="87"/>
      <c r="I46" s="65"/>
    </row>
    <row r="47" spans="1:9" x14ac:dyDescent="0.2">
      <c r="A47" s="173"/>
      <c r="B47" s="64"/>
      <c r="C47" s="64"/>
      <c r="D47" s="64"/>
      <c r="E47" s="64"/>
      <c r="F47" s="28"/>
      <c r="G47" s="64"/>
      <c r="H47" s="98"/>
      <c r="I47" s="65"/>
    </row>
    <row r="48" spans="1:9" x14ac:dyDescent="0.2">
      <c r="A48" s="173"/>
      <c r="B48" s="64"/>
      <c r="C48" s="64"/>
      <c r="D48" s="64"/>
      <c r="E48" s="64"/>
      <c r="F48" s="64"/>
      <c r="G48" s="64"/>
      <c r="H48" s="87"/>
      <c r="I48" s="65"/>
    </row>
    <row r="49" spans="1:9" x14ac:dyDescent="0.2">
      <c r="A49" s="173"/>
      <c r="B49" s="64"/>
      <c r="C49" s="64"/>
      <c r="D49" s="64"/>
      <c r="E49" s="64"/>
      <c r="F49" s="28"/>
      <c r="G49" s="64"/>
      <c r="H49" s="98"/>
      <c r="I49" s="65"/>
    </row>
    <row r="50" spans="1:9" x14ac:dyDescent="0.2">
      <c r="A50" s="173"/>
      <c r="B50" s="64"/>
      <c r="C50" s="64"/>
      <c r="D50" s="64"/>
      <c r="E50" s="64"/>
      <c r="F50" s="64"/>
      <c r="G50" s="64"/>
      <c r="H50" s="87"/>
      <c r="I50" s="65"/>
    </row>
    <row r="51" spans="1:9" x14ac:dyDescent="0.2">
      <c r="A51" s="173"/>
      <c r="B51" s="64"/>
      <c r="C51" s="64"/>
      <c r="D51" s="64"/>
      <c r="E51" s="64"/>
      <c r="F51" s="28"/>
      <c r="G51" s="64"/>
      <c r="H51" s="98"/>
      <c r="I51" s="65"/>
    </row>
    <row r="52" spans="1:9" x14ac:dyDescent="0.2">
      <c r="A52" s="173"/>
      <c r="B52" s="64"/>
      <c r="C52" s="64"/>
      <c r="D52" s="64"/>
      <c r="E52" s="64"/>
      <c r="F52" s="64"/>
      <c r="G52" s="64"/>
      <c r="H52" s="87"/>
      <c r="I52" s="65"/>
    </row>
    <row r="53" spans="1:9" x14ac:dyDescent="0.2">
      <c r="A53" s="165"/>
      <c r="B53" s="64"/>
      <c r="C53" s="64"/>
      <c r="D53" s="64"/>
      <c r="E53" s="64"/>
      <c r="F53" s="28"/>
      <c r="G53" s="64"/>
      <c r="H53" s="98"/>
      <c r="I53" s="65"/>
    </row>
    <row r="54" spans="1:9" x14ac:dyDescent="0.2">
      <c r="A54" s="82" t="s">
        <v>280</v>
      </c>
      <c r="B54" s="149"/>
      <c r="C54" s="149"/>
      <c r="D54" s="149"/>
      <c r="E54" s="149"/>
      <c r="F54" s="174"/>
      <c r="G54" s="149"/>
      <c r="H54" s="175"/>
      <c r="I54" s="176"/>
    </row>
  </sheetData>
  <sheetProtection selectLockedCells="1" selectUnlockedCells="1"/>
  <mergeCells count="3">
    <mergeCell ref="B3:C3"/>
    <mergeCell ref="D3:E3"/>
    <mergeCell ref="F3:G3"/>
  </mergeCells>
  <pageMargins left="0.25972222222222224" right="0.4597222222222222" top="0.42986111111111114" bottom="1" header="0.51180555555555551" footer="0.51180555555555551"/>
  <pageSetup paperSize="9" firstPageNumber="0" fitToHeight="4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4</vt:i4>
      </vt:variant>
    </vt:vector>
  </HeadingPairs>
  <TitlesOfParts>
    <vt:vector size="20" baseType="lpstr">
      <vt:lpstr>Datos</vt:lpstr>
      <vt:lpstr>InfoInicial</vt:lpstr>
      <vt:lpstr>E-Inv AF y Am</vt:lpstr>
      <vt:lpstr>E-Costos</vt:lpstr>
      <vt:lpstr>E-InvAT</vt:lpstr>
      <vt:lpstr>E-Cal Inv.</vt:lpstr>
      <vt:lpstr>E-IVA </vt:lpstr>
      <vt:lpstr>E-Form</vt:lpstr>
      <vt:lpstr>F-Cred</vt:lpstr>
      <vt:lpstr>F-CRes</vt:lpstr>
      <vt:lpstr>F-2 Estructura</vt:lpstr>
      <vt:lpstr>F-IVA</vt:lpstr>
      <vt:lpstr>F- CFyU</vt:lpstr>
      <vt:lpstr>F-Balance</vt:lpstr>
      <vt:lpstr>F- Form</vt:lpstr>
      <vt:lpstr>Hoja2</vt:lpstr>
      <vt:lpstr>'E-Costos'!Área_de_impresión</vt:lpstr>
      <vt:lpstr>'F- CFyU'!Área_de_impresión</vt:lpstr>
      <vt:lpstr>'F-Balance'!Área_de_impresión</vt:lpstr>
      <vt:lpstr>'F-Cred'!Área_de_impresión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Macarena</dc:creator>
  <cp:lastModifiedBy>TOMAS IGNACIO</cp:lastModifiedBy>
  <dcterms:created xsi:type="dcterms:W3CDTF">2018-09-18T20:43:04Z</dcterms:created>
  <dcterms:modified xsi:type="dcterms:W3CDTF">2018-10-04T04:10:36Z</dcterms:modified>
</cp:coreProperties>
</file>