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 activeTab="6"/>
  </bookViews>
  <sheets>
    <sheet name="InfoInicial" sheetId="1" r:id="rId1"/>
    <sheet name="E-Inv AF y Am" sheetId="2" r:id="rId2"/>
    <sheet name="E-Costos" sheetId="3" r:id="rId3"/>
    <sheet name="E-InvAT" sheetId="4" r:id="rId4"/>
    <sheet name="E-Cal Inv." sheetId="5" r:id="rId5"/>
    <sheet name="E-IVA " sheetId="6" r:id="rId6"/>
    <sheet name="E-Form" sheetId="7" r:id="rId7"/>
    <sheet name="F-Cred" sheetId="8" r:id="rId8"/>
    <sheet name="F-CRes" sheetId="9" r:id="rId9"/>
    <sheet name="F-2 Estructura" sheetId="10" r:id="rId10"/>
    <sheet name="F-IVA" sheetId="11" r:id="rId11"/>
    <sheet name="F- CFyU" sheetId="12" r:id="rId12"/>
    <sheet name="F-Balance" sheetId="13" r:id="rId13"/>
    <sheet name="F- Form" sheetId="14" r:id="rId14"/>
  </sheets>
  <definedNames>
    <definedName name="_xlnm.Print_Area" localSheetId="2">('E-Costos'!$A$3:$G$47,'E-Costos'!$A$50:$F$81,'E-Costos'!$A$84:$F$136)</definedName>
    <definedName name="_xlnm.Print_Area" localSheetId="11">'F- CFyU'!$A$3:$H$28</definedName>
    <definedName name="_xlnm.Print_Area" localSheetId="12">'F-Balance'!$A$3:$G$35</definedName>
    <definedName name="_xlnm.Print_Area" localSheetId="7">'F-Cred'!$A$1:$I$54</definedName>
    <definedName name="Excel_BuiltIn_Print_Area" localSheetId="11">('F- CFyU'!#REF!,'F- CFyU'!#REF!,'F- CFyU'!$A$3:$H$28)</definedName>
    <definedName name="Excel_BuiltIn_Print_Area" localSheetId="12">('F-Balance'!#REF!,'F-Balance'!#REF!,'F-Balance'!$A$3:$G$35)</definedName>
  </definedNames>
  <calcPr calcId="125725"/>
</workbook>
</file>

<file path=xl/calcChain.xml><?xml version="1.0" encoding="utf-8"?>
<calcChain xmlns="http://schemas.openxmlformats.org/spreadsheetml/2006/main">
  <c r="D15" i="7"/>
  <c r="D14" l="1"/>
  <c r="D13"/>
  <c r="J9"/>
  <c r="I9"/>
  <c r="H9"/>
  <c r="D9"/>
  <c r="F9"/>
  <c r="E9"/>
  <c r="C9"/>
  <c r="J8"/>
  <c r="J7"/>
  <c r="J6"/>
  <c r="J5"/>
  <c r="I8"/>
  <c r="I7"/>
  <c r="I6"/>
  <c r="I5"/>
  <c r="H8"/>
  <c r="H7"/>
  <c r="H6"/>
  <c r="H5"/>
  <c r="F8"/>
  <c r="F7"/>
  <c r="F6"/>
  <c r="F5"/>
  <c r="E8"/>
  <c r="E7"/>
  <c r="E6"/>
  <c r="D8"/>
  <c r="D7"/>
  <c r="D6"/>
  <c r="D5"/>
  <c r="C8"/>
  <c r="C7"/>
  <c r="C6"/>
  <c r="B6"/>
  <c r="K5"/>
  <c r="K6"/>
  <c r="K7"/>
  <c r="K8"/>
  <c r="K9"/>
  <c r="K4"/>
  <c r="E5"/>
  <c r="C5"/>
  <c r="H11"/>
  <c r="I11"/>
  <c r="B9" s="1"/>
  <c r="G9" s="1"/>
  <c r="J11"/>
  <c r="C11"/>
  <c r="D11"/>
  <c r="E11"/>
  <c r="F11"/>
  <c r="B5"/>
  <c r="G5" s="1"/>
  <c r="G6"/>
  <c r="G7"/>
  <c r="G8"/>
  <c r="L8" s="1"/>
  <c r="D4"/>
  <c r="C4"/>
  <c r="G4" s="1"/>
  <c r="L4" s="1"/>
  <c r="M4" s="1"/>
  <c r="B4"/>
  <c r="F28" i="6"/>
  <c r="G28"/>
  <c r="F30"/>
  <c r="D28"/>
  <c r="E28"/>
  <c r="F27"/>
  <c r="E27"/>
  <c r="E30"/>
  <c r="D30"/>
  <c r="D27"/>
  <c r="D26"/>
  <c r="E26"/>
  <c r="F26"/>
  <c r="G26"/>
  <c r="C28"/>
  <c r="C27"/>
  <c r="C30"/>
  <c r="C26"/>
  <c r="D25"/>
  <c r="E25"/>
  <c r="F25"/>
  <c r="G25"/>
  <c r="G30" s="1"/>
  <c r="C25"/>
  <c r="B27"/>
  <c r="B26"/>
  <c r="D23"/>
  <c r="E23"/>
  <c r="F23"/>
  <c r="G23"/>
  <c r="C23"/>
  <c r="D22"/>
  <c r="E22"/>
  <c r="F22"/>
  <c r="G22"/>
  <c r="C22"/>
  <c r="D21"/>
  <c r="E21"/>
  <c r="F21"/>
  <c r="G21"/>
  <c r="C21"/>
  <c r="D19"/>
  <c r="E19"/>
  <c r="F19"/>
  <c r="G19"/>
  <c r="C19"/>
  <c r="D18"/>
  <c r="E18"/>
  <c r="F18"/>
  <c r="G18"/>
  <c r="C18"/>
  <c r="D17"/>
  <c r="E17"/>
  <c r="F17"/>
  <c r="G17"/>
  <c r="C17"/>
  <c r="C16"/>
  <c r="D16"/>
  <c r="E16"/>
  <c r="F16"/>
  <c r="G16"/>
  <c r="D15"/>
  <c r="E15"/>
  <c r="F15"/>
  <c r="G15"/>
  <c r="C15"/>
  <c r="C13"/>
  <c r="D12"/>
  <c r="E12"/>
  <c r="F12"/>
  <c r="G12"/>
  <c r="C12"/>
  <c r="D8"/>
  <c r="E8"/>
  <c r="F8"/>
  <c r="G8"/>
  <c r="C8"/>
  <c r="D7"/>
  <c r="E7"/>
  <c r="F7"/>
  <c r="G7"/>
  <c r="C7"/>
  <c r="D6"/>
  <c r="E6"/>
  <c r="F6"/>
  <c r="G6"/>
  <c r="C6"/>
  <c r="C25" i="5"/>
  <c r="D25"/>
  <c r="E25"/>
  <c r="F25"/>
  <c r="G25"/>
  <c r="H25"/>
  <c r="B25"/>
  <c r="C23"/>
  <c r="D23"/>
  <c r="E23"/>
  <c r="F23"/>
  <c r="G23"/>
  <c r="H23"/>
  <c r="B23"/>
  <c r="C22"/>
  <c r="D22"/>
  <c r="E22"/>
  <c r="F22"/>
  <c r="G22"/>
  <c r="H22"/>
  <c r="B22"/>
  <c r="G21"/>
  <c r="H21"/>
  <c r="C21"/>
  <c r="D21"/>
  <c r="E21"/>
  <c r="F21"/>
  <c r="B21"/>
  <c r="D18"/>
  <c r="E18"/>
  <c r="F18"/>
  <c r="G18"/>
  <c r="H18"/>
  <c r="C18"/>
  <c r="C13" i="4"/>
  <c r="C16" i="5"/>
  <c r="D16"/>
  <c r="E16"/>
  <c r="F16"/>
  <c r="G16"/>
  <c r="H16"/>
  <c r="C17"/>
  <c r="D17"/>
  <c r="E17"/>
  <c r="F17"/>
  <c r="G17"/>
  <c r="H17"/>
  <c r="C15"/>
  <c r="D15"/>
  <c r="E15"/>
  <c r="F15"/>
  <c r="G15"/>
  <c r="H15"/>
  <c r="I15"/>
  <c r="H14"/>
  <c r="E14"/>
  <c r="F14"/>
  <c r="G14"/>
  <c r="D14"/>
  <c r="C14"/>
  <c r="I9"/>
  <c r="I10"/>
  <c r="I11"/>
  <c r="I12"/>
  <c r="I13"/>
  <c r="I14"/>
  <c r="I16"/>
  <c r="I17"/>
  <c r="I18"/>
  <c r="I19"/>
  <c r="I20"/>
  <c r="I21"/>
  <c r="I22"/>
  <c r="I23"/>
  <c r="I24"/>
  <c r="I25"/>
  <c r="F12"/>
  <c r="G12"/>
  <c r="H12"/>
  <c r="E12"/>
  <c r="D12"/>
  <c r="C7" i="4"/>
  <c r="G7"/>
  <c r="F7"/>
  <c r="E7"/>
  <c r="D7"/>
  <c r="D11" i="5"/>
  <c r="C11"/>
  <c r="I7"/>
  <c r="I8"/>
  <c r="C8"/>
  <c r="D8"/>
  <c r="B8"/>
  <c r="D7"/>
  <c r="C7"/>
  <c r="B7"/>
  <c r="I6"/>
  <c r="C6"/>
  <c r="C34" i="4"/>
  <c r="D34"/>
  <c r="E34"/>
  <c r="F34"/>
  <c r="G34"/>
  <c r="B34"/>
  <c r="F33"/>
  <c r="D33"/>
  <c r="C33"/>
  <c r="K32"/>
  <c r="L32"/>
  <c r="M32"/>
  <c r="M31"/>
  <c r="L31"/>
  <c r="K31"/>
  <c r="L30"/>
  <c r="M30"/>
  <c r="M33" s="1"/>
  <c r="K30"/>
  <c r="L33"/>
  <c r="K33"/>
  <c r="F32"/>
  <c r="D32"/>
  <c r="C32"/>
  <c r="M26"/>
  <c r="L26"/>
  <c r="K26"/>
  <c r="M25"/>
  <c r="L25"/>
  <c r="K25"/>
  <c r="M24"/>
  <c r="L24"/>
  <c r="K24"/>
  <c r="M23"/>
  <c r="L23"/>
  <c r="K23"/>
  <c r="M22"/>
  <c r="L22"/>
  <c r="K22"/>
  <c r="C31"/>
  <c r="E31"/>
  <c r="F31"/>
  <c r="G31"/>
  <c r="D31"/>
  <c r="B31"/>
  <c r="B11" i="7" l="1"/>
  <c r="L9"/>
  <c r="L7"/>
  <c r="L5"/>
  <c r="M5" s="1"/>
  <c r="K11"/>
  <c r="L6"/>
  <c r="M6" s="1"/>
  <c r="G11"/>
  <c r="M34" i="4"/>
  <c r="K34"/>
  <c r="L34"/>
  <c r="C30"/>
  <c r="B30"/>
  <c r="M7" i="7" l="1"/>
  <c r="M8" s="1"/>
  <c r="M9" s="1"/>
  <c r="L11"/>
  <c r="E20" i="4"/>
  <c r="F20"/>
  <c r="G20"/>
  <c r="D20"/>
  <c r="C20"/>
  <c r="E18"/>
  <c r="F18"/>
  <c r="G18"/>
  <c r="D18"/>
  <c r="C18"/>
  <c r="G17"/>
  <c r="D17"/>
  <c r="E17"/>
  <c r="F17"/>
  <c r="C17"/>
  <c r="C9"/>
  <c r="C15" s="1"/>
  <c r="D9"/>
  <c r="E9"/>
  <c r="F9"/>
  <c r="G9"/>
  <c r="B9"/>
  <c r="B15" s="1"/>
  <c r="B22" s="1"/>
  <c r="D13"/>
  <c r="E13"/>
  <c r="F13"/>
  <c r="G13"/>
  <c r="D12"/>
  <c r="E12"/>
  <c r="F12"/>
  <c r="G12"/>
  <c r="C12"/>
  <c r="B11"/>
  <c r="D11"/>
  <c r="E11"/>
  <c r="F11"/>
  <c r="G11"/>
  <c r="C11"/>
  <c r="G10"/>
  <c r="F10"/>
  <c r="E10"/>
  <c r="D10"/>
  <c r="C10"/>
  <c r="B10"/>
  <c r="M10"/>
  <c r="M11"/>
  <c r="M12"/>
  <c r="M9"/>
  <c r="K10"/>
  <c r="K11"/>
  <c r="K12"/>
  <c r="K9"/>
  <c r="B24" l="1"/>
  <c r="B25"/>
  <c r="B36" s="1"/>
  <c r="C24"/>
  <c r="F15"/>
  <c r="D15"/>
  <c r="G15"/>
  <c r="E15"/>
  <c r="C6"/>
  <c r="B6" s="1"/>
  <c r="E198" i="3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40"/>
  <c r="E24" i="4" l="1"/>
  <c r="F24"/>
  <c r="G24"/>
  <c r="D24"/>
  <c r="G6"/>
  <c r="D6"/>
  <c r="F6"/>
  <c r="E6"/>
  <c r="C88" i="3"/>
  <c r="D88"/>
  <c r="E88"/>
  <c r="F88"/>
  <c r="B88"/>
  <c r="Z49" l="1"/>
  <c r="Z40"/>
  <c r="Z39"/>
  <c r="Z38"/>
  <c r="Y44" l="1"/>
  <c r="Q49"/>
  <c r="Q39"/>
  <c r="Q38"/>
  <c r="P43" l="1"/>
  <c r="P44" s="1"/>
  <c r="B52" s="1"/>
  <c r="E69"/>
  <c r="C69"/>
  <c r="F69"/>
  <c r="D69"/>
  <c r="Z51" s="1"/>
  <c r="Y45"/>
  <c r="B69" s="1"/>
  <c r="C52"/>
  <c r="E52" l="1"/>
  <c r="F52"/>
  <c r="D52"/>
  <c r="Q51" s="1"/>
  <c r="P13"/>
  <c r="P14" s="1"/>
  <c r="R15" s="1"/>
  <c r="J92" l="1"/>
  <c r="K100"/>
  <c r="K101"/>
  <c r="K97"/>
  <c r="E13" s="1"/>
  <c r="J97"/>
  <c r="B13" s="1"/>
  <c r="J90"/>
  <c r="J93" s="1"/>
  <c r="I79"/>
  <c r="K76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M49"/>
  <c r="L49"/>
  <c r="L76" s="1"/>
  <c r="K40"/>
  <c r="K39"/>
  <c r="J44" s="1"/>
  <c r="K38"/>
  <c r="M76" l="1"/>
  <c r="D13"/>
  <c r="F13"/>
  <c r="K103"/>
  <c r="K104" s="1"/>
  <c r="D15" s="1"/>
  <c r="E11"/>
  <c r="C11"/>
  <c r="J45"/>
  <c r="B11" s="1"/>
  <c r="B29" s="1"/>
  <c r="F11"/>
  <c r="D11"/>
  <c r="F15"/>
  <c r="C15"/>
  <c r="B31"/>
  <c r="C13"/>
  <c r="J26"/>
  <c r="J27" s="1"/>
  <c r="J32" s="1"/>
  <c r="J34" s="1"/>
  <c r="F7"/>
  <c r="F90" s="1"/>
  <c r="E7"/>
  <c r="E90" s="1"/>
  <c r="D7"/>
  <c r="D90" s="1"/>
  <c r="C7"/>
  <c r="B7"/>
  <c r="B90" s="1"/>
  <c r="C25" l="1"/>
  <c r="C90"/>
  <c r="B15"/>
  <c r="Y101" s="1"/>
  <c r="E15"/>
  <c r="B33"/>
  <c r="Y102"/>
  <c r="B75" s="1"/>
  <c r="F25"/>
  <c r="D25"/>
  <c r="E25"/>
  <c r="J35"/>
  <c r="B8" s="1"/>
  <c r="B91" s="1"/>
  <c r="L34"/>
  <c r="B26" s="1"/>
  <c r="P102"/>
  <c r="B58" s="1"/>
  <c r="C33"/>
  <c r="C29"/>
  <c r="G25"/>
  <c r="B25"/>
  <c r="C55"/>
  <c r="B55" s="1"/>
  <c r="C31"/>
  <c r="G31"/>
  <c r="D8"/>
  <c r="D91" s="1"/>
  <c r="F8"/>
  <c r="F91" s="1"/>
  <c r="C8"/>
  <c r="E8"/>
  <c r="E91" s="1"/>
  <c r="B46" i="2"/>
  <c r="B50"/>
  <c r="D36"/>
  <c r="B27"/>
  <c r="B25"/>
  <c r="B24"/>
  <c r="B23"/>
  <c r="D18"/>
  <c r="B16"/>
  <c r="B15"/>
  <c r="B13"/>
  <c r="B14"/>
  <c r="B12"/>
  <c r="D11"/>
  <c r="B9"/>
  <c r="B8"/>
  <c r="B7"/>
  <c r="I82" i="3" l="1"/>
  <c r="K85" s="1"/>
  <c r="C91"/>
  <c r="G26"/>
  <c r="D75"/>
  <c r="E75"/>
  <c r="F75"/>
  <c r="C75"/>
  <c r="J85"/>
  <c r="B12" s="1"/>
  <c r="F29"/>
  <c r="D29"/>
  <c r="E29"/>
  <c r="F58"/>
  <c r="D58"/>
  <c r="E58"/>
  <c r="C58"/>
  <c r="F31"/>
  <c r="D31"/>
  <c r="E31"/>
  <c r="E33"/>
  <c r="F33"/>
  <c r="D33"/>
  <c r="F26"/>
  <c r="D26"/>
  <c r="E26"/>
  <c r="C26"/>
  <c r="D55"/>
  <c r="D72" s="1"/>
  <c r="E55"/>
  <c r="E72" s="1"/>
  <c r="F55"/>
  <c r="F72" s="1"/>
  <c r="C72"/>
  <c r="C50" i="2"/>
  <c r="D50"/>
  <c r="G50" s="1"/>
  <c r="D44"/>
  <c r="E44" s="1"/>
  <c r="B48"/>
  <c r="B47"/>
  <c r="B45"/>
  <c r="B44"/>
  <c r="B43"/>
  <c r="G43" s="1"/>
  <c r="B18"/>
  <c r="B20" s="1"/>
  <c r="D20"/>
  <c r="D33" s="1"/>
  <c r="G1" i="5"/>
  <c r="E3" i="3"/>
  <c r="G1" i="7"/>
  <c r="E1" i="2"/>
  <c r="E1" i="4"/>
  <c r="G1" i="6"/>
  <c r="E1" i="12"/>
  <c r="G1" i="14"/>
  <c r="D1" i="10"/>
  <c r="E1" i="13"/>
  <c r="F1" i="8"/>
  <c r="F1" i="9"/>
  <c r="E1" i="11"/>
  <c r="D12" i="3" l="1"/>
  <c r="E12"/>
  <c r="E30" s="1"/>
  <c r="F30" s="1"/>
  <c r="F12"/>
  <c r="B72"/>
  <c r="D48" i="2"/>
  <c r="E48" s="1"/>
  <c r="D47"/>
  <c r="E47" s="1"/>
  <c r="D46"/>
  <c r="E46" s="1"/>
  <c r="D45"/>
  <c r="E45" s="1"/>
  <c r="G44"/>
  <c r="B49"/>
  <c r="D30" i="3" l="1"/>
  <c r="C12"/>
  <c r="G48" i="2"/>
  <c r="G47"/>
  <c r="G46"/>
  <c r="G45"/>
  <c r="B51"/>
  <c r="D49"/>
  <c r="B30" i="3" l="1"/>
  <c r="C30"/>
  <c r="G30"/>
  <c r="G35" s="1"/>
  <c r="D51" i="2"/>
  <c r="E49"/>
  <c r="B41" i="3" l="1"/>
  <c r="B97" s="1"/>
  <c r="C26" i="2"/>
  <c r="E51"/>
  <c r="G49"/>
  <c r="G51" s="1"/>
  <c r="B29" l="1"/>
  <c r="B31" s="1"/>
  <c r="C31"/>
  <c r="C33" s="1"/>
  <c r="C36" s="1"/>
  <c r="B33" l="1"/>
  <c r="B34" s="1"/>
  <c r="B36" s="1"/>
  <c r="B53"/>
  <c r="B56" l="1"/>
  <c r="D53"/>
  <c r="E53" l="1"/>
  <c r="E56" s="1"/>
  <c r="D56"/>
  <c r="F125" i="3" l="1"/>
  <c r="E125"/>
  <c r="C125"/>
  <c r="B125"/>
  <c r="D125"/>
  <c r="B10"/>
  <c r="B53"/>
  <c r="B70" s="1"/>
  <c r="D53"/>
  <c r="D70" s="1"/>
  <c r="C53"/>
  <c r="C70" s="1"/>
  <c r="G53" i="2"/>
  <c r="G56" s="1"/>
  <c r="E10" i="3"/>
  <c r="F53"/>
  <c r="F70" s="1"/>
  <c r="E53"/>
  <c r="E70" s="1"/>
  <c r="B28" l="1"/>
  <c r="B34" s="1"/>
  <c r="B35" s="1"/>
  <c r="B42" s="1"/>
  <c r="B98" s="1"/>
  <c r="C10"/>
  <c r="D10"/>
  <c r="B16"/>
  <c r="B17" s="1"/>
  <c r="E28"/>
  <c r="F10"/>
  <c r="E16"/>
  <c r="E92" s="1"/>
  <c r="B19" l="1"/>
  <c r="B20" s="1"/>
  <c r="B94"/>
  <c r="B92"/>
  <c r="F16"/>
  <c r="F17" s="1"/>
  <c r="F94" s="1"/>
  <c r="D16"/>
  <c r="D17" s="1"/>
  <c r="D94" s="1"/>
  <c r="D28"/>
  <c r="D19"/>
  <c r="D20" s="1"/>
  <c r="E17"/>
  <c r="F28"/>
  <c r="F34" s="1"/>
  <c r="F35" s="1"/>
  <c r="E34"/>
  <c r="E35" s="1"/>
  <c r="B39"/>
  <c r="B43" s="1"/>
  <c r="C16"/>
  <c r="C17" s="1"/>
  <c r="C94" s="1"/>
  <c r="F42" l="1"/>
  <c r="F98" s="1"/>
  <c r="D92"/>
  <c r="C92"/>
  <c r="B44"/>
  <c r="B102" s="1"/>
  <c r="B105" s="1"/>
  <c r="B100"/>
  <c r="E19"/>
  <c r="E20" s="1"/>
  <c r="E94"/>
  <c r="F92"/>
  <c r="B46"/>
  <c r="B128" s="1"/>
  <c r="F19"/>
  <c r="F20" s="1"/>
  <c r="C39"/>
  <c r="D39"/>
  <c r="F39"/>
  <c r="C19"/>
  <c r="C20" s="1"/>
  <c r="B47"/>
  <c r="B129" s="1"/>
  <c r="E39"/>
  <c r="C28"/>
  <c r="C34" s="1"/>
  <c r="C35" s="1"/>
  <c r="C42" s="1"/>
  <c r="C98" s="1"/>
  <c r="D34"/>
  <c r="D35" s="1"/>
  <c r="F43"/>
  <c r="F44" l="1"/>
  <c r="F102" s="1"/>
  <c r="F100"/>
  <c r="F107" s="1"/>
  <c r="B107"/>
  <c r="C43"/>
  <c r="C100" s="1"/>
  <c r="C107" s="1"/>
  <c r="E42"/>
  <c r="D42"/>
  <c r="F46"/>
  <c r="C46"/>
  <c r="C47" l="1"/>
  <c r="C129" s="1"/>
  <c r="C128"/>
  <c r="F47"/>
  <c r="F129" s="1"/>
  <c r="F128"/>
  <c r="E43"/>
  <c r="E100" s="1"/>
  <c r="E107" s="1"/>
  <c r="E98"/>
  <c r="D43"/>
  <c r="D98"/>
  <c r="E44"/>
  <c r="E102" s="1"/>
  <c r="E46"/>
  <c r="C44"/>
  <c r="C102" s="1"/>
  <c r="Z52"/>
  <c r="Z50"/>
  <c r="Q50"/>
  <c r="P56" s="1"/>
  <c r="E47" l="1"/>
  <c r="E129" s="1"/>
  <c r="E128"/>
  <c r="D44"/>
  <c r="D102" s="1"/>
  <c r="D100"/>
  <c r="D107" s="1"/>
  <c r="D46"/>
  <c r="C54"/>
  <c r="P57"/>
  <c r="B54" s="1"/>
  <c r="Y56"/>
  <c r="D47" l="1"/>
  <c r="D129" s="1"/>
  <c r="D128"/>
  <c r="E71"/>
  <c r="E76" s="1"/>
  <c r="E78" s="1"/>
  <c r="C71"/>
  <c r="C76" s="1"/>
  <c r="C78" s="1"/>
  <c r="F71"/>
  <c r="F76" s="1"/>
  <c r="F78" s="1"/>
  <c r="D71"/>
  <c r="D76" s="1"/>
  <c r="D78" s="1"/>
  <c r="Y57"/>
  <c r="B71" s="1"/>
  <c r="B76" s="1"/>
  <c r="B78" s="1"/>
  <c r="D54"/>
  <c r="C59"/>
  <c r="C61" s="1"/>
  <c r="F54"/>
  <c r="E54"/>
  <c r="B59"/>
  <c r="B61" s="1"/>
  <c r="B63" l="1"/>
  <c r="B109"/>
  <c r="D80"/>
  <c r="D110"/>
  <c r="C80"/>
  <c r="C110"/>
  <c r="C63"/>
  <c r="C109"/>
  <c r="C112" s="1"/>
  <c r="B80"/>
  <c r="B110"/>
  <c r="F80"/>
  <c r="F110"/>
  <c r="E80"/>
  <c r="E110"/>
  <c r="E59"/>
  <c r="E61" s="1"/>
  <c r="F59"/>
  <c r="F61" s="1"/>
  <c r="D59"/>
  <c r="D61" s="1"/>
  <c r="D63" l="1"/>
  <c r="D109"/>
  <c r="D112" s="1"/>
  <c r="E63"/>
  <c r="E109"/>
  <c r="E112" s="1"/>
  <c r="C114"/>
  <c r="C116"/>
  <c r="C81"/>
  <c r="C133" s="1"/>
  <c r="C132"/>
  <c r="D81"/>
  <c r="D133" s="1"/>
  <c r="D132"/>
  <c r="B64"/>
  <c r="B131" s="1"/>
  <c r="B130"/>
  <c r="F63"/>
  <c r="F109"/>
  <c r="F112" s="1"/>
  <c r="E81"/>
  <c r="E133" s="1"/>
  <c r="E132"/>
  <c r="F81"/>
  <c r="F133" s="1"/>
  <c r="F132"/>
  <c r="B81"/>
  <c r="B133" s="1"/>
  <c r="B132"/>
  <c r="C64"/>
  <c r="C131" s="1"/>
  <c r="C134" s="1"/>
  <c r="C130"/>
  <c r="B112"/>
  <c r="B142" l="1"/>
  <c r="B146"/>
  <c r="B150"/>
  <c r="B154"/>
  <c r="B162"/>
  <c r="B151"/>
  <c r="B159"/>
  <c r="B144"/>
  <c r="B148"/>
  <c r="B152"/>
  <c r="B156"/>
  <c r="B160"/>
  <c r="B164"/>
  <c r="B141"/>
  <c r="B145"/>
  <c r="B149"/>
  <c r="B153"/>
  <c r="B157"/>
  <c r="B161"/>
  <c r="B158"/>
  <c r="B143"/>
  <c r="B147"/>
  <c r="B155"/>
  <c r="B163"/>
  <c r="B140"/>
  <c r="F64"/>
  <c r="F131" s="1"/>
  <c r="F130"/>
  <c r="H141"/>
  <c r="B134"/>
  <c r="E64"/>
  <c r="E131" s="1"/>
  <c r="E134" s="1"/>
  <c r="E130"/>
  <c r="D64"/>
  <c r="D131" s="1"/>
  <c r="D134" s="1"/>
  <c r="D130"/>
  <c r="B114"/>
  <c r="B116"/>
  <c r="F114"/>
  <c r="F116"/>
  <c r="C117"/>
  <c r="C118" s="1"/>
  <c r="C120" s="1"/>
  <c r="E114"/>
  <c r="E116"/>
  <c r="D114"/>
  <c r="D116"/>
  <c r="C135"/>
  <c r="B135"/>
  <c r="B172" l="1"/>
  <c r="B176"/>
  <c r="B180"/>
  <c r="B184"/>
  <c r="B188"/>
  <c r="B192"/>
  <c r="B196"/>
  <c r="B169"/>
  <c r="B173"/>
  <c r="B177"/>
  <c r="B181"/>
  <c r="B185"/>
  <c r="B189"/>
  <c r="B193"/>
  <c r="B197"/>
  <c r="B170"/>
  <c r="B174"/>
  <c r="B178"/>
  <c r="B182"/>
  <c r="B186"/>
  <c r="B190"/>
  <c r="B194"/>
  <c r="B198"/>
  <c r="B171"/>
  <c r="B175"/>
  <c r="B179"/>
  <c r="B183"/>
  <c r="B187"/>
  <c r="B191"/>
  <c r="B195"/>
  <c r="B168"/>
  <c r="E135"/>
  <c r="C141"/>
  <c r="D141" s="1"/>
  <c r="C143"/>
  <c r="D143" s="1"/>
  <c r="C145"/>
  <c r="D145" s="1"/>
  <c r="C147"/>
  <c r="D147" s="1"/>
  <c r="C149"/>
  <c r="D149" s="1"/>
  <c r="C151"/>
  <c r="D151" s="1"/>
  <c r="C153"/>
  <c r="D153" s="1"/>
  <c r="C155"/>
  <c r="D155" s="1"/>
  <c r="C157"/>
  <c r="D157" s="1"/>
  <c r="C159"/>
  <c r="D159" s="1"/>
  <c r="C161"/>
  <c r="D161" s="1"/>
  <c r="C163"/>
  <c r="D163" s="1"/>
  <c r="C140"/>
  <c r="D140" s="1"/>
  <c r="C142"/>
  <c r="D142" s="1"/>
  <c r="C144"/>
  <c r="D144" s="1"/>
  <c r="C146"/>
  <c r="D146" s="1"/>
  <c r="C148"/>
  <c r="D148" s="1"/>
  <c r="C150"/>
  <c r="D150" s="1"/>
  <c r="C152"/>
  <c r="D152" s="1"/>
  <c r="C154"/>
  <c r="D154" s="1"/>
  <c r="C156"/>
  <c r="D156" s="1"/>
  <c r="C158"/>
  <c r="D158" s="1"/>
  <c r="C160"/>
  <c r="D160" s="1"/>
  <c r="C162"/>
  <c r="D162" s="1"/>
  <c r="C164"/>
  <c r="D164" s="1"/>
  <c r="D135"/>
  <c r="C121"/>
  <c r="D19" i="4" s="1"/>
  <c r="D16" s="1"/>
  <c r="D22" s="1"/>
  <c r="C124" i="3"/>
  <c r="C126" s="1"/>
  <c r="D117"/>
  <c r="E117"/>
  <c r="E118" s="1"/>
  <c r="H169"/>
  <c r="F134"/>
  <c r="F135" s="1"/>
  <c r="F117"/>
  <c r="B117"/>
  <c r="C169" l="1"/>
  <c r="D169" s="1"/>
  <c r="C171"/>
  <c r="D171" s="1"/>
  <c r="C173"/>
  <c r="D173" s="1"/>
  <c r="C175"/>
  <c r="D175" s="1"/>
  <c r="C177"/>
  <c r="D177" s="1"/>
  <c r="C179"/>
  <c r="D179" s="1"/>
  <c r="C181"/>
  <c r="D181" s="1"/>
  <c r="C183"/>
  <c r="D183" s="1"/>
  <c r="C185"/>
  <c r="D185" s="1"/>
  <c r="C187"/>
  <c r="D187" s="1"/>
  <c r="C189"/>
  <c r="D189" s="1"/>
  <c r="C191"/>
  <c r="D191" s="1"/>
  <c r="C193"/>
  <c r="D193" s="1"/>
  <c r="C195"/>
  <c r="D195" s="1"/>
  <c r="C197"/>
  <c r="D197" s="1"/>
  <c r="C168"/>
  <c r="D168" s="1"/>
  <c r="C170"/>
  <c r="D170" s="1"/>
  <c r="C172"/>
  <c r="D172" s="1"/>
  <c r="C174"/>
  <c r="D174" s="1"/>
  <c r="C176"/>
  <c r="D176" s="1"/>
  <c r="C178"/>
  <c r="D178" s="1"/>
  <c r="C180"/>
  <c r="D180" s="1"/>
  <c r="C182"/>
  <c r="D182" s="1"/>
  <c r="C184"/>
  <c r="D184" s="1"/>
  <c r="C186"/>
  <c r="D186" s="1"/>
  <c r="C188"/>
  <c r="D188" s="1"/>
  <c r="C190"/>
  <c r="D190" s="1"/>
  <c r="C192"/>
  <c r="D192" s="1"/>
  <c r="C194"/>
  <c r="D194" s="1"/>
  <c r="C196"/>
  <c r="D196" s="1"/>
  <c r="C198"/>
  <c r="D198" s="1"/>
  <c r="B118"/>
  <c r="B120" s="1"/>
  <c r="E120"/>
  <c r="D118"/>
  <c r="D120" s="1"/>
  <c r="F118"/>
  <c r="F120" s="1"/>
  <c r="B121" l="1"/>
  <c r="C19" i="4" s="1"/>
  <c r="C16" s="1"/>
  <c r="C22" s="1"/>
  <c r="B124" i="3"/>
  <c r="B126" s="1"/>
  <c r="D124"/>
  <c r="D126" s="1"/>
  <c r="D121"/>
  <c r="E19" i="4" s="1"/>
  <c r="E16" s="1"/>
  <c r="E22" s="1"/>
  <c r="F124" i="3"/>
  <c r="F126" s="1"/>
  <c r="F121"/>
  <c r="G19" i="4" s="1"/>
  <c r="G16" s="1"/>
  <c r="G22" s="1"/>
  <c r="E121" i="3"/>
  <c r="F19" i="4" s="1"/>
  <c r="F16" s="1"/>
  <c r="F22" s="1"/>
  <c r="E124" i="3"/>
  <c r="E126" s="1"/>
  <c r="G25" i="4" l="1"/>
  <c r="G36" s="1"/>
  <c r="F25"/>
  <c r="F36" s="1"/>
  <c r="E25"/>
  <c r="E36" s="1"/>
  <c r="C25"/>
  <c r="C36" s="1"/>
  <c r="D25"/>
  <c r="D36" s="1"/>
</calcChain>
</file>

<file path=xl/sharedStrings.xml><?xml version="1.0" encoding="utf-8"?>
<sst xmlns="http://schemas.openxmlformats.org/spreadsheetml/2006/main" count="896" uniqueCount="550">
  <si>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</si>
  <si>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</si>
  <si>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</si>
  <si>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</si>
  <si>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</si>
  <si>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</si>
  <si>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</si>
  <si>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</si>
  <si>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</si>
  <si>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</si>
  <si>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</si>
  <si>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</si>
  <si>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</si>
  <si>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</si>
  <si>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</si>
  <si>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</si>
  <si>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</si>
  <si>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</si>
  <si>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</si>
  <si>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</si>
  <si>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</si>
  <si>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</si>
  <si>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</si>
  <si>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</si>
  <si>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</si>
  <si>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</si>
  <si>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</si>
  <si>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</si>
  <si>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</si>
  <si>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</si>
  <si>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</si>
  <si>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</si>
  <si>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</si>
  <si>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</si>
  <si>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</si>
  <si>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</si>
  <si>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</si>
  <si>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</si>
  <si>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</si>
  <si>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</si>
  <si>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</si>
  <si>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</si>
  <si>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Scar Tissue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</si>
  <si>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</si>
  <si>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</si>
  <si>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</si>
  <si>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</si>
  <si>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</si>
  <si>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</si>
  <si>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</si>
  <si>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</si>
  <si>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</si>
  <si>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</si>
  <si>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</si>
  <si>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</si>
  <si>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</si>
  <si>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</si>
  <si>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</si>
  <si>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</si>
  <si>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</si>
  <si>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</si>
  <si>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</si>
  <si>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</si>
  <si>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</si>
  <si>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</si>
  <si>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</si>
  <si>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</si>
  <si>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</si>
  <si>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</si>
  <si>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</si>
  <si>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</si>
  <si>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</si>
  <si>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</si>
  <si>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</si>
  <si>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</si>
  <si>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</si>
  <si>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</si>
  <si>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</si>
  <si>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</si>
  <si>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</si>
  <si>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</si>
  <si>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</si>
  <si>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</si>
  <si>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</si>
  <si>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</si>
  <si>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</si>
  <si>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</si>
  <si>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</si>
  <si>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</si>
  <si>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</si>
  <si>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</si>
  <si>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</si>
  <si>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</si>
  <si>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</si>
  <si>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</si>
  <si>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</si>
  <si>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</si>
  <si>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</si>
  <si>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</si>
  <si>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</si>
  <si>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</si>
  <si>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</si>
  <si>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</si>
  <si>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</si>
  <si>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</si>
  <si>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</si>
  <si>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</si>
  <si>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</si>
  <si>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</si>
  <si>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</si>
  <si>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</si>
  <si>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</si>
  <si>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</si>
  <si>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</si>
  <si>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</si>
  <si>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</si>
  <si>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</si>
  <si>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</si>
  <si>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</si>
  <si>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</si>
  <si>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</si>
  <si>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</si>
  <si>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Personal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</si>
  <si>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</si>
  <si>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</si>
  <si>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</si>
  <si>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</si>
  <si>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</si>
  <si>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</si>
  <si>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</si>
  <si>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</si>
  <si>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</si>
  <si>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</si>
  <si>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</si>
  <si>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</si>
  <si>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</si>
  <si>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</si>
  <si>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</si>
  <si>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</si>
  <si>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</si>
  <si>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</si>
  <si>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</si>
  <si>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</si>
  <si>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</si>
  <si>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</si>
  <si>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</si>
  <si>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</si>
  <si>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</si>
  <si>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</si>
  <si>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</si>
  <si>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</si>
  <si>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</si>
  <si>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</si>
  <si>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</si>
  <si>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</si>
  <si>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</si>
  <si>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</si>
  <si>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</si>
  <si>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</si>
  <si>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</si>
  <si>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</si>
  <si>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</si>
  <si>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</si>
  <si>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</si>
  <si>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</si>
  <si>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</si>
  <si>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</si>
  <si>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</si>
  <si>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</si>
  <si>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</si>
  <si>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</si>
  <si>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</si>
  <si>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</si>
  <si>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</si>
  <si>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</si>
  <si>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</si>
  <si>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</si>
  <si>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</si>
  <si>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</si>
  <si>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</si>
  <si>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</si>
  <si>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</si>
  <si>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</si>
  <si>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</si>
  <si>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</si>
  <si>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</si>
  <si>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</si>
  <si>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</si>
  <si>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</si>
  <si>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</si>
  <si>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</si>
  <si>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</si>
  <si>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</si>
  <si>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</si>
  <si>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</si>
  <si>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</si>
  <si>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</si>
  <si>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</si>
  <si>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</si>
  <si>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</si>
  <si>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</si>
  <si>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</si>
  <si>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</si>
  <si>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</si>
  <si>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</si>
  <si>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</si>
  <si>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</si>
  <si>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</si>
  <si>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</si>
  <si>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</si>
  <si>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</si>
  <si>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</si>
  <si>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</si>
  <si>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</si>
  <si>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</si>
  <si>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</si>
  <si>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</si>
  <si>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</si>
  <si>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</si>
  <si>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</si>
  <si>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</si>
  <si>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</si>
  <si>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</si>
  <si>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</si>
  <si>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</si>
  <si>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</si>
  <si>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</si>
  <si>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</si>
  <si>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</si>
  <si>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</si>
  <si>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</si>
  <si>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</si>
  <si>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</si>
  <si>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</si>
  <si>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</si>
  <si>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</si>
  <si>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</si>
  <si>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</si>
  <si>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</si>
  <si>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</si>
  <si>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</si>
  <si>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</si>
  <si>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</si>
  <si>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</si>
  <si>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</si>
  <si>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</si>
  <si>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</si>
  <si>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</si>
  <si>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</si>
  <si>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</si>
  <si>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</si>
  <si>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</si>
  <si>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</si>
  <si>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</si>
  <si>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</si>
  <si>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</si>
  <si>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</si>
  <si>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</si>
  <si>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</si>
  <si>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</si>
  <si>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</si>
  <si>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</si>
  <si>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</si>
  <si>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</si>
  <si>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</si>
  <si>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</si>
  <si>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</si>
  <si>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</si>
  <si>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</si>
  <si>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</si>
  <si>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</si>
  <si>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</si>
  <si>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</si>
  <si>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</si>
  <si>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</si>
  <si>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</si>
  <si>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</si>
  <si>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</si>
  <si>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</si>
  <si>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</si>
  <si>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</si>
  <si>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</si>
  <si>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</si>
  <si>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</si>
  <si>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</si>
  <si>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</si>
  <si>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</si>
  <si>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</si>
  <si>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</si>
  <si>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</si>
  <si>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</si>
  <si>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</si>
  <si>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</si>
  <si>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</si>
  <si>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</si>
  <si>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</si>
  <si>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</si>
  <si>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</si>
  <si>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</si>
  <si>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</si>
  <si>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</si>
  <si>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</si>
  <si>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</si>
  <si>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</si>
  <si>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</si>
  <si>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</si>
  <si>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</si>
  <si>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</si>
  <si>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</si>
  <si>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</si>
  <si>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</si>
  <si>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</si>
  <si>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</si>
  <si>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</si>
  <si>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</si>
  <si>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</si>
  <si>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</si>
  <si>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</si>
  <si>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</si>
  <si>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</si>
  <si>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</si>
  <si>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</si>
  <si>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</si>
  <si>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</si>
  <si>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</si>
  <si>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</si>
  <si>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</si>
  <si>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</si>
  <si>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</si>
  <si>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</si>
  <si>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</si>
  <si>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</si>
  <si>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</si>
  <si>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</si>
  <si>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</si>
  <si>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</si>
  <si>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</si>
  <si>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</si>
  <si>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</si>
  <si>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</si>
  <si>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</si>
  <si>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</si>
  <si>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</si>
  <si>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</si>
  <si>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</si>
  <si>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</si>
  <si>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</si>
  <si>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</si>
  <si>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</si>
  <si>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</si>
  <si>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</si>
  <si>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</si>
  <si>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</si>
  <si>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</si>
  <si>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</si>
  <si>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</si>
  <si>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</si>
  <si>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</si>
  <si>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</si>
  <si>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</si>
  <si>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</si>
  <si>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</si>
  <si>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</si>
  <si>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</si>
  <si>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</si>
  <si>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</si>
  <si>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</si>
  <si>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</si>
  <si>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</si>
  <si>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</si>
  <si>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</si>
  <si>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</si>
  <si>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</si>
  <si>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</si>
  <si>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</si>
  <si>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</si>
  <si>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para el inversor</t>
  </si>
  <si>
    <t>en años para el inversor</t>
  </si>
  <si>
    <t>TOR</t>
  </si>
  <si>
    <t>Impresora 3D</t>
  </si>
  <si>
    <t>-</t>
  </si>
  <si>
    <t xml:space="preserve">Precio m² en San Martin </t>
  </si>
  <si>
    <t>Precio m² de edificio</t>
  </si>
  <si>
    <t>Precio m² instalaciones</t>
  </si>
  <si>
    <t xml:space="preserve">    importadas, valor FOB, con repuestos</t>
  </si>
  <si>
    <t>Precio I3D S/IVA</t>
  </si>
  <si>
    <t>Precio sensitiva S/IVA</t>
  </si>
  <si>
    <t xml:space="preserve">    nacionales, precio en fábrica del proveedor</t>
  </si>
  <si>
    <t>Gastos conexos a la importación de maquinaria</t>
  </si>
  <si>
    <t>Precio FOB cortadora S/IVA</t>
  </si>
  <si>
    <t>Transporte y montaje C/IVA</t>
  </si>
  <si>
    <t>Computadora basica C/IVA</t>
  </si>
  <si>
    <t>Computadora alta prestación C/IVA</t>
  </si>
  <si>
    <t>Silla C/IVA</t>
  </si>
  <si>
    <t>Aire acondicionado C/IVA</t>
  </si>
  <si>
    <t>Armario C/IVA</t>
  </si>
  <si>
    <t>Mesa 10 metros C/IVA</t>
  </si>
  <si>
    <t>Estanteria de chapa C/IVA</t>
  </si>
  <si>
    <t>Ventiladores industriales C/IVA</t>
  </si>
  <si>
    <t>Escritorio C/IVA</t>
  </si>
  <si>
    <t>Impresora C/IVA</t>
  </si>
  <si>
    <t>Pizarra C/IVA</t>
  </si>
  <si>
    <t>Carro Zorra C/IVA</t>
  </si>
  <si>
    <t>Set alicate pinza destornillador etc C/IVA</t>
  </si>
  <si>
    <t>Remachadora neumatica C/IVA</t>
  </si>
  <si>
    <t>Atornillador electrico C/IVA</t>
  </si>
  <si>
    <t>Calibre C/IVA</t>
  </si>
  <si>
    <t>Constitucion y organización de empresa</t>
  </si>
  <si>
    <t>Gastos ADM en periodo de instalacion</t>
  </si>
  <si>
    <t>Patentes y licencias</t>
  </si>
  <si>
    <t>d) IVA</t>
  </si>
  <si>
    <t>REPUESTOS</t>
  </si>
  <si>
    <t>PRODUCCIÓN</t>
  </si>
  <si>
    <t>MP</t>
  </si>
  <si>
    <t>Precio</t>
  </si>
  <si>
    <t>Varilla lisa</t>
  </si>
  <si>
    <t>Varilla roscada</t>
  </si>
  <si>
    <t>PLA</t>
  </si>
  <si>
    <t>Acrilico</t>
  </si>
  <si>
    <t>$/m</t>
  </si>
  <si>
    <t>$/5kg</t>
  </si>
  <si>
    <t>$/plancha</t>
  </si>
  <si>
    <t>$/1,5m</t>
  </si>
  <si>
    <t>Consumo</t>
  </si>
  <si>
    <t>Las varillas de 8 mm de diametro tienen un precio de $200/m y las de 12 mm de 350 $/m. Su relacion de consumo es  1150 mm  de largo de varilla de 8 mm cada 5040mm de 12 mm, por lo tanto la relación es 4,38:1. Para simplificar los calculos utilizaremos un precio homogeneo de $ 395/m al referirnos a las varillas lisas, dicho precio se calculó realizando (4,38*350+1*200)/4,38=395</t>
  </si>
  <si>
    <t>m</t>
  </si>
  <si>
    <t>rollos de 5 kg</t>
  </si>
  <si>
    <t>planchas</t>
  </si>
  <si>
    <t>Año 2-5</t>
  </si>
  <si>
    <t>año 2-5</t>
  </si>
  <si>
    <t>año 1</t>
  </si>
  <si>
    <t>Turnos</t>
  </si>
  <si>
    <t>Nº Operarios</t>
  </si>
  <si>
    <t>Basico mensual</t>
  </si>
  <si>
    <t>Horas al año</t>
  </si>
  <si>
    <t>Sueldo anual</t>
  </si>
  <si>
    <t>Por hora</t>
  </si>
  <si>
    <t>Relacion año 1 - año 2</t>
  </si>
  <si>
    <t>Jornal</t>
  </si>
  <si>
    <t>CCSS</t>
  </si>
  <si>
    <t>Gasto anual</t>
  </si>
  <si>
    <t>MOD</t>
  </si>
  <si>
    <t>MOI</t>
  </si>
  <si>
    <t>Gerente (1/3)</t>
  </si>
  <si>
    <t>I+D</t>
  </si>
  <si>
    <t>Jefe de compras/prod (1/2)</t>
  </si>
  <si>
    <t>SubTotal</t>
  </si>
  <si>
    <t>Mensual</t>
  </si>
  <si>
    <t>Anual</t>
  </si>
  <si>
    <t>4x motores PAP NEMA 17</t>
  </si>
  <si>
    <t>10x motores PAP NEMA 23</t>
  </si>
  <si>
    <t>1x plancha de aluminio 450X550X3</t>
  </si>
  <si>
    <t>2x tubos acero inox T304 Ø 38.1X1.5X500 mm</t>
  </si>
  <si>
    <t>1x Banda transportadora de PVC 1500X500 mm</t>
  </si>
  <si>
    <t>1x Gabinete de chapa 800x800x500mm</t>
  </si>
  <si>
    <t>2x correa gt2 x1500mm</t>
  </si>
  <si>
    <t>1x placa Arduino mega 2560</t>
  </si>
  <si>
    <t>1x placa Ramps 1.4</t>
  </si>
  <si>
    <t>4x Hotend E3D v6</t>
  </si>
  <si>
    <t>1x Hotbed 30x30mm</t>
  </si>
  <si>
    <t>4x Hobbed bold</t>
  </si>
  <si>
    <t>1x Fuente switching 500w 220v-12v Imax=41,6 a</t>
  </si>
  <si>
    <t>6x poleas gt2</t>
  </si>
  <si>
    <t>1x Display LCD12864</t>
  </si>
  <si>
    <t>8x Acoples Racor 1/2"</t>
  </si>
  <si>
    <t>4x Acoples anti wobble</t>
  </si>
  <si>
    <t>2x finales de carrera</t>
  </si>
  <si>
    <t>16 x Rodamientos lineales Ø12mm</t>
  </si>
  <si>
    <t>2 x Rodamientos 608zz</t>
  </si>
  <si>
    <t>4x Tuercas bolas recirculantes M10</t>
  </si>
  <si>
    <t>4x Funda cables x600mm</t>
  </si>
  <si>
    <t>4x coolers 60x60x25mm</t>
  </si>
  <si>
    <t>70~80 Tornillos M5</t>
  </si>
  <si>
    <t>30~40 Remaches M5</t>
  </si>
  <si>
    <t>Cables Ø0.75x4000mm</t>
  </si>
  <si>
    <t>30 fichas crimpeables</t>
  </si>
  <si>
    <t>**Produccion**</t>
  </si>
  <si>
    <t xml:space="preserve">Año 1 </t>
  </si>
  <si>
    <t>Año 2 - 5</t>
  </si>
  <si>
    <t>Por unidad</t>
  </si>
  <si>
    <t>SUB TOTALES</t>
  </si>
  <si>
    <t>**Mantenimiento y repuestos**</t>
  </si>
  <si>
    <t>Sobre el valor de los bienes de uso menos repuestos incluidos en la compra de los AF</t>
  </si>
  <si>
    <t>**Personal**</t>
  </si>
  <si>
    <t>año 1-5</t>
  </si>
  <si>
    <t>TOTAL</t>
  </si>
  <si>
    <t>E. ELECTRICA</t>
  </si>
  <si>
    <t>KW</t>
  </si>
  <si>
    <t>Consumo total</t>
  </si>
  <si>
    <t>Datos según simulador de Edenor</t>
  </si>
  <si>
    <t>TASAS E IMPUESTOS</t>
  </si>
  <si>
    <t xml:space="preserve">ARBA </t>
  </si>
  <si>
    <t>ALSMI (impuesto municipal) [$/m²]</t>
  </si>
  <si>
    <t>ANUAL</t>
  </si>
  <si>
    <t>90% PROD</t>
  </si>
  <si>
    <t>Area producción (96%)</t>
  </si>
  <si>
    <t>MCYSE</t>
  </si>
  <si>
    <t xml:space="preserve">Produccion </t>
  </si>
  <si>
    <t>Año 1-5</t>
  </si>
  <si>
    <t>Consumo especifico</t>
  </si>
  <si>
    <t>Consumo de mp por PT</t>
  </si>
  <si>
    <t>Exceso en el consumo debido a la puesta en marcha</t>
  </si>
  <si>
    <t>EJEMPLO PLANCHAS ACRILICO</t>
  </si>
  <si>
    <t>Gasto especifico</t>
  </si>
  <si>
    <t>ADMINISTRACION</t>
  </si>
  <si>
    <t>Contador</t>
  </si>
  <si>
    <t>Mantenimiento</t>
  </si>
  <si>
    <t>Papeleria y utiles</t>
  </si>
  <si>
    <t>Sobre el costo de produccion promedio</t>
  </si>
  <si>
    <t xml:space="preserve">Articulos de limpieza </t>
  </si>
  <si>
    <t>Sobre los sueldos</t>
  </si>
  <si>
    <t>Sobre ventas</t>
  </si>
  <si>
    <t>Impuesto por sellos</t>
  </si>
  <si>
    <t>sobre ventas</t>
  </si>
  <si>
    <t>Impuesto debitos y creditos</t>
  </si>
  <si>
    <t>Correspondiente a ARBA y municipal</t>
  </si>
  <si>
    <t>COMERCIALIZACION</t>
  </si>
  <si>
    <t>Jefe de ventas</t>
  </si>
  <si>
    <t>Empaque y embalaje</t>
  </si>
  <si>
    <t>Sobre costo de producción promedio</t>
  </si>
  <si>
    <t>IIBB</t>
  </si>
  <si>
    <t>Ventas año 2-5</t>
  </si>
  <si>
    <t>Ventas año 1</t>
  </si>
  <si>
    <t>Gastos Fijos</t>
  </si>
  <si>
    <t>Gastos variables</t>
  </si>
  <si>
    <t>Gastos Totales</t>
  </si>
  <si>
    <t>Ingreso</t>
  </si>
  <si>
    <t>G.Variable Unitario</t>
  </si>
  <si>
    <t>Q</t>
  </si>
  <si>
    <t>AÑO 1</t>
  </si>
  <si>
    <t>AÑO 5</t>
  </si>
  <si>
    <t>MATERIALES (S/IVA)</t>
  </si>
  <si>
    <t>Minimo caja y bancos</t>
  </si>
  <si>
    <t>Sobre mp año 2</t>
  </si>
  <si>
    <t>Plazo promedio de financiación a clientes</t>
  </si>
  <si>
    <t>Dias</t>
  </si>
  <si>
    <t>Stock MP</t>
  </si>
  <si>
    <t>Acrilico (planchas)</t>
  </si>
  <si>
    <t>PLA (rollos 5kg)</t>
  </si>
  <si>
    <t>Varillas lisas (mt)</t>
  </si>
  <si>
    <t>Varillas roscadas (varillas de 1,5 mt)</t>
  </si>
  <si>
    <t>$/unitario</t>
  </si>
  <si>
    <t>Stock de mp año 1</t>
  </si>
  <si>
    <t>Stock materiales</t>
  </si>
  <si>
    <t>Administracion y comercializacion</t>
  </si>
  <si>
    <t>mes de consumo</t>
  </si>
  <si>
    <t>Producción</t>
  </si>
  <si>
    <t>E. electrica</t>
  </si>
  <si>
    <t>Incrementos</t>
  </si>
  <si>
    <t>Años 2/3</t>
  </si>
</sst>
</file>

<file path=xl/styles.xml><?xml version="1.0" encoding="utf-8"?>
<styleSheet xmlns="http://schemas.openxmlformats.org/spreadsheetml/2006/main">
  <numFmts count="9">
    <numFmt numFmtId="43" formatCode="_-* #,##0.00\ _€_-;\-* #,##0.00\ _€_-;_-* &quot;-&quot;??\ _€_-;_-@_-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#,##0.000"/>
    <numFmt numFmtId="171" formatCode="0.0%"/>
  </numFmts>
  <fonts count="19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thin">
        <color indexed="59"/>
      </left>
      <right/>
      <top/>
      <bottom/>
      <diagonal/>
    </border>
    <border>
      <left/>
      <right style="double">
        <color indexed="5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8" fontId="16" fillId="0" borderId="0" applyFill="0" applyBorder="0" applyAlignment="0" applyProtection="0"/>
    <xf numFmtId="165" fontId="16" fillId="0" borderId="0" applyFill="0" applyBorder="0" applyAlignment="0" applyProtection="0"/>
    <xf numFmtId="9" fontId="16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358">
    <xf numFmtId="0" fontId="0" fillId="0" borderId="0" xfId="0"/>
    <xf numFmtId="0" fontId="12" fillId="0" borderId="0" xfId="0" applyFont="1"/>
    <xf numFmtId="0" fontId="13" fillId="0" borderId="2" xfId="0" applyFont="1" applyBorder="1"/>
    <xf numFmtId="0" fontId="13" fillId="0" borderId="0" xfId="0" applyFont="1" applyAlignment="1">
      <alignment horizontal="right"/>
    </xf>
    <xf numFmtId="9" fontId="13" fillId="3" borderId="2" xfId="3" applyFont="1" applyFill="1" applyBorder="1" applyAlignment="1" applyProtection="1"/>
    <xf numFmtId="0" fontId="11" fillId="0" borderId="0" xfId="0" applyFont="1"/>
    <xf numFmtId="0" fontId="0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/>
    </xf>
    <xf numFmtId="0" fontId="0" fillId="9" borderId="3" xfId="0" applyFill="1" applyBorder="1" applyProtection="1">
      <protection locked="0"/>
    </xf>
    <xf numFmtId="0" fontId="0" fillId="9" borderId="4" xfId="0" applyFill="1" applyBorder="1"/>
    <xf numFmtId="0" fontId="0" fillId="9" borderId="5" xfId="0" applyFill="1" applyBorder="1"/>
    <xf numFmtId="0" fontId="0" fillId="9" borderId="2" xfId="0" applyFill="1" applyBorder="1" applyProtection="1">
      <protection locked="0"/>
    </xf>
    <xf numFmtId="0" fontId="13" fillId="0" borderId="0" xfId="0" applyFont="1"/>
    <xf numFmtId="0" fontId="0" fillId="9" borderId="6" xfId="0" applyFill="1" applyBorder="1" applyProtection="1">
      <protection locked="0"/>
    </xf>
    <xf numFmtId="0" fontId="0" fillId="9" borderId="7" xfId="0" applyFill="1" applyBorder="1" applyProtection="1">
      <protection locked="0"/>
    </xf>
    <xf numFmtId="0" fontId="0" fillId="0" borderId="0" xfId="0" applyFill="1"/>
    <xf numFmtId="0" fontId="14" fillId="0" borderId="8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4" fillId="0" borderId="11" xfId="0" applyFont="1" applyFill="1" applyBorder="1"/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3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2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2" applyFont="1" applyFill="1" applyBorder="1" applyAlignment="1" applyProtection="1"/>
    <xf numFmtId="0" fontId="13" fillId="0" borderId="11" xfId="0" applyFont="1" applyFill="1" applyBorder="1" applyAlignment="1">
      <alignment horizontal="left"/>
    </xf>
    <xf numFmtId="165" fontId="0" fillId="0" borderId="12" xfId="2" applyFont="1" applyFill="1" applyBorder="1" applyAlignment="1" applyProtection="1">
      <protection locked="0"/>
    </xf>
    <xf numFmtId="0" fontId="13" fillId="0" borderId="8" xfId="0" applyFont="1" applyFill="1" applyBorder="1" applyAlignment="1">
      <alignment horizontal="center"/>
    </xf>
    <xf numFmtId="0" fontId="13" fillId="0" borderId="10" xfId="0" applyFont="1" applyFill="1" applyBorder="1"/>
    <xf numFmtId="0" fontId="13" fillId="0" borderId="11" xfId="0" applyFont="1" applyFill="1" applyBorder="1"/>
    <xf numFmtId="0" fontId="13" fillId="0" borderId="13" xfId="0" applyFont="1" applyFill="1" applyBorder="1"/>
    <xf numFmtId="0" fontId="13" fillId="0" borderId="8" xfId="0" applyFont="1" applyFill="1" applyBorder="1"/>
    <xf numFmtId="165" fontId="0" fillId="0" borderId="9" xfId="2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3" fillId="0" borderId="14" xfId="0" applyFont="1" applyFill="1" applyBorder="1"/>
    <xf numFmtId="165" fontId="0" fillId="0" borderId="15" xfId="2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5" fontId="0" fillId="0" borderId="19" xfId="2" applyFont="1" applyFill="1" applyBorder="1" applyAlignment="1" applyProtection="1">
      <protection locked="0"/>
    </xf>
    <xf numFmtId="0" fontId="13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3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6" fontId="0" fillId="0" borderId="0" xfId="0" applyNumberFormat="1" applyFill="1"/>
    <xf numFmtId="165" fontId="0" fillId="0" borderId="13" xfId="2" applyFont="1" applyFill="1" applyBorder="1" applyAlignment="1" applyProtection="1">
      <protection locked="0"/>
    </xf>
    <xf numFmtId="166" fontId="13" fillId="0" borderId="0" xfId="0" applyNumberFormat="1" applyFont="1" applyFill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165" fontId="0" fillId="0" borderId="15" xfId="2" applyFont="1" applyFill="1" applyBorder="1" applyAlignment="1" applyProtection="1">
      <alignment horizontal="center"/>
      <protection locked="0"/>
    </xf>
    <xf numFmtId="165" fontId="0" fillId="0" borderId="18" xfId="2" applyFont="1" applyFill="1" applyBorder="1" applyAlignment="1" applyProtection="1">
      <alignment horizontal="center"/>
      <protection locked="0"/>
    </xf>
    <xf numFmtId="165" fontId="0" fillId="0" borderId="17" xfId="2" applyFont="1" applyFill="1" applyBorder="1" applyAlignment="1" applyProtection="1">
      <alignment horizontal="center"/>
      <protection locked="0"/>
    </xf>
    <xf numFmtId="165" fontId="0" fillId="0" borderId="19" xfId="2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3" fillId="0" borderId="23" xfId="0" applyFont="1" applyFill="1" applyBorder="1"/>
    <xf numFmtId="165" fontId="0" fillId="0" borderId="12" xfId="2" applyFont="1" applyFill="1" applyBorder="1" applyAlignment="1" applyProtection="1">
      <alignment horizontal="center"/>
      <protection locked="0"/>
    </xf>
    <xf numFmtId="165" fontId="0" fillId="0" borderId="13" xfId="2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3" fillId="0" borderId="0" xfId="0" applyFont="1" applyFill="1"/>
    <xf numFmtId="167" fontId="0" fillId="0" borderId="0" xfId="0" applyNumberFormat="1" applyFill="1" applyAlignment="1">
      <alignment horizontal="center"/>
    </xf>
    <xf numFmtId="167" fontId="13" fillId="0" borderId="9" xfId="0" applyNumberFormat="1" applyFont="1" applyFill="1" applyBorder="1" applyAlignment="1">
      <alignment horizontal="center"/>
    </xf>
    <xf numFmtId="167" fontId="13" fillId="0" borderId="10" xfId="0" applyNumberFormat="1" applyFont="1" applyFill="1" applyBorder="1" applyAlignment="1">
      <alignment horizontal="center"/>
    </xf>
    <xf numFmtId="165" fontId="0" fillId="0" borderId="24" xfId="2" applyFont="1" applyFill="1" applyBorder="1" applyAlignment="1" applyProtection="1">
      <alignment horizontal="center"/>
      <protection locked="0"/>
    </xf>
    <xf numFmtId="165" fontId="0" fillId="0" borderId="25" xfId="2" applyFont="1" applyFill="1" applyBorder="1" applyAlignment="1" applyProtection="1">
      <alignment horizontal="center"/>
      <protection locked="0"/>
    </xf>
    <xf numFmtId="9" fontId="0" fillId="0" borderId="12" xfId="3" applyFont="1" applyFill="1" applyBorder="1" applyAlignment="1" applyProtection="1">
      <alignment horizontal="center"/>
      <protection locked="0"/>
    </xf>
    <xf numFmtId="9" fontId="0" fillId="0" borderId="13" xfId="3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>
      <alignment horizontal="center"/>
    </xf>
    <xf numFmtId="165" fontId="0" fillId="0" borderId="17" xfId="2" applyFont="1" applyFill="1" applyBorder="1" applyAlignment="1" applyProtection="1">
      <alignment horizontal="center"/>
    </xf>
    <xf numFmtId="165" fontId="0" fillId="0" borderId="19" xfId="2" applyFont="1" applyFill="1" applyBorder="1" applyAlignment="1" applyProtection="1">
      <alignment horizontal="center"/>
    </xf>
    <xf numFmtId="9" fontId="0" fillId="0" borderId="17" xfId="3" applyFont="1" applyFill="1" applyBorder="1" applyAlignment="1" applyProtection="1">
      <alignment horizontal="center"/>
      <protection locked="0"/>
    </xf>
    <xf numFmtId="9" fontId="0" fillId="0" borderId="19" xfId="3" applyFont="1" applyFill="1" applyBorder="1" applyAlignment="1" applyProtection="1">
      <alignment horizontal="center"/>
      <protection locked="0"/>
    </xf>
    <xf numFmtId="0" fontId="14" fillId="0" borderId="8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168" fontId="0" fillId="0" borderId="17" xfId="1" applyFont="1" applyFill="1" applyBorder="1" applyAlignment="1" applyProtection="1">
      <alignment horizontal="center"/>
      <protection locked="0"/>
    </xf>
    <xf numFmtId="168" fontId="0" fillId="0" borderId="19" xfId="1" applyFont="1" applyFill="1" applyBorder="1" applyAlignment="1" applyProtection="1">
      <alignment horizontal="center"/>
      <protection locked="0"/>
    </xf>
    <xf numFmtId="165" fontId="13" fillId="0" borderId="17" xfId="2" applyFont="1" applyFill="1" applyBorder="1" applyAlignment="1" applyProtection="1">
      <alignment horizontal="center"/>
      <protection locked="0"/>
    </xf>
    <xf numFmtId="165" fontId="13" fillId="0" borderId="19" xfId="2" applyFont="1" applyFill="1" applyBorder="1" applyAlignment="1" applyProtection="1">
      <alignment horizontal="center"/>
      <protection locked="0"/>
    </xf>
    <xf numFmtId="165" fontId="13" fillId="0" borderId="17" xfId="2" applyFont="1" applyFill="1" applyBorder="1" applyAlignment="1" applyProtection="1">
      <alignment horizontal="center"/>
    </xf>
    <xf numFmtId="165" fontId="13" fillId="0" borderId="19" xfId="2" applyFont="1" applyFill="1" applyBorder="1" applyAlignment="1" applyProtection="1">
      <alignment horizontal="center"/>
    </xf>
    <xf numFmtId="9" fontId="0" fillId="0" borderId="17" xfId="3" applyFont="1" applyFill="1" applyBorder="1" applyAlignment="1" applyProtection="1">
      <protection locked="0"/>
    </xf>
    <xf numFmtId="9" fontId="0" fillId="0" borderId="19" xfId="3" applyFont="1" applyFill="1" applyBorder="1" applyAlignment="1" applyProtection="1">
      <protection locked="0"/>
    </xf>
    <xf numFmtId="9" fontId="0" fillId="0" borderId="17" xfId="3" applyFont="1" applyFill="1" applyBorder="1" applyAlignment="1" applyProtection="1"/>
    <xf numFmtId="9" fontId="0" fillId="0" borderId="19" xfId="3" applyFont="1" applyFill="1" applyBorder="1" applyAlignment="1" applyProtection="1"/>
    <xf numFmtId="0" fontId="14" fillId="0" borderId="0" xfId="0" applyFont="1" applyFill="1"/>
    <xf numFmtId="0" fontId="0" fillId="0" borderId="0" xfId="0" applyBorder="1"/>
    <xf numFmtId="0" fontId="13" fillId="0" borderId="26" xfId="0" applyFont="1" applyFill="1" applyBorder="1"/>
    <xf numFmtId="165" fontId="0" fillId="0" borderId="15" xfId="2" applyFont="1" applyFill="1" applyBorder="1" applyAlignment="1" applyProtection="1">
      <alignment horizontal="center"/>
    </xf>
    <xf numFmtId="165" fontId="0" fillId="0" borderId="18" xfId="2" applyFont="1" applyFill="1" applyBorder="1" applyAlignment="1" applyProtection="1">
      <alignment horizontal="center"/>
    </xf>
    <xf numFmtId="0" fontId="0" fillId="0" borderId="26" xfId="0" applyFill="1" applyBorder="1"/>
    <xf numFmtId="0" fontId="13" fillId="0" borderId="27" xfId="0" applyFont="1" applyFill="1" applyBorder="1"/>
    <xf numFmtId="0" fontId="13" fillId="0" borderId="12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horizontal="center"/>
    </xf>
    <xf numFmtId="165" fontId="0" fillId="0" borderId="29" xfId="2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2" applyFont="1" applyFill="1" applyBorder="1" applyAlignment="1" applyProtection="1">
      <alignment horizontal="center"/>
      <protection locked="0"/>
    </xf>
    <xf numFmtId="165" fontId="0" fillId="0" borderId="30" xfId="2" applyFont="1" applyFill="1" applyBorder="1" applyAlignment="1" applyProtection="1">
      <alignment horizontal="center"/>
    </xf>
    <xf numFmtId="165" fontId="0" fillId="0" borderId="28" xfId="2" applyFont="1" applyFill="1" applyBorder="1" applyAlignment="1" applyProtection="1">
      <alignment horizontal="center"/>
      <protection locked="0"/>
    </xf>
    <xf numFmtId="0" fontId="14" fillId="0" borderId="20" xfId="0" applyFont="1" applyFill="1" applyBorder="1" applyAlignment="1">
      <alignment horizontal="left"/>
    </xf>
    <xf numFmtId="0" fontId="14" fillId="0" borderId="31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33" xfId="0" applyFont="1" applyFill="1" applyBorder="1"/>
    <xf numFmtId="165" fontId="0" fillId="0" borderId="34" xfId="2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2" applyFont="1" applyFill="1" applyBorder="1" applyAlignment="1" applyProtection="1">
      <alignment horizontal="center"/>
      <protection locked="0"/>
    </xf>
    <xf numFmtId="0" fontId="13" fillId="0" borderId="35" xfId="0" applyFont="1" applyFill="1" applyBorder="1"/>
    <xf numFmtId="165" fontId="0" fillId="0" borderId="36" xfId="2" applyFont="1" applyFill="1" applyBorder="1" applyAlignment="1" applyProtection="1">
      <alignment horizontal="center"/>
    </xf>
    <xf numFmtId="0" fontId="13" fillId="0" borderId="35" xfId="0" applyFont="1" applyFill="1" applyBorder="1" applyAlignment="1">
      <alignment horizontal="left"/>
    </xf>
    <xf numFmtId="0" fontId="13" fillId="0" borderId="37" xfId="0" applyFont="1" applyFill="1" applyBorder="1"/>
    <xf numFmtId="165" fontId="0" fillId="0" borderId="38" xfId="2" applyFont="1" applyFill="1" applyBorder="1" applyAlignment="1" applyProtection="1">
      <alignment horizontal="center"/>
      <protection locked="0"/>
    </xf>
    <xf numFmtId="0" fontId="13" fillId="0" borderId="28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33" xfId="0" applyFont="1" applyFill="1" applyBorder="1" applyAlignment="1">
      <alignment horizontal="center"/>
    </xf>
    <xf numFmtId="165" fontId="0" fillId="0" borderId="34" xfId="2" applyFont="1" applyFill="1" applyBorder="1" applyAlignment="1" applyProtection="1">
      <alignment horizontal="center"/>
      <protection locked="0"/>
    </xf>
    <xf numFmtId="165" fontId="0" fillId="0" borderId="29" xfId="2" applyFont="1" applyFill="1" applyBorder="1" applyAlignment="1" applyProtection="1">
      <alignment horizontal="center"/>
      <protection locked="0"/>
    </xf>
    <xf numFmtId="0" fontId="13" fillId="0" borderId="35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2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3" applyFont="1" applyFill="1" applyBorder="1" applyAlignment="1" applyProtection="1">
      <protection locked="0"/>
    </xf>
    <xf numFmtId="0" fontId="0" fillId="0" borderId="2" xfId="0" applyBorder="1"/>
    <xf numFmtId="0" fontId="14" fillId="0" borderId="8" xfId="0" applyFont="1" applyFill="1" applyBorder="1" applyAlignment="1">
      <alignment horizontal="left"/>
    </xf>
    <xf numFmtId="0" fontId="13" fillId="0" borderId="17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165" fontId="13" fillId="0" borderId="12" xfId="2" applyFont="1" applyFill="1" applyBorder="1" applyAlignment="1" applyProtection="1">
      <alignment horizontal="center"/>
      <protection locked="0"/>
    </xf>
    <xf numFmtId="9" fontId="13" fillId="0" borderId="12" xfId="3" applyFont="1" applyFill="1" applyBorder="1" applyAlignment="1" applyProtection="1">
      <alignment horizontal="center"/>
      <protection locked="0"/>
    </xf>
    <xf numFmtId="9" fontId="13" fillId="0" borderId="13" xfId="3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Alignment="1">
      <alignment horizontal="center"/>
    </xf>
    <xf numFmtId="0" fontId="14" fillId="0" borderId="39" xfId="0" applyFont="1" applyFill="1" applyBorder="1" applyAlignment="1">
      <alignment horizontal="left"/>
    </xf>
    <xf numFmtId="0" fontId="14" fillId="0" borderId="40" xfId="0" applyFont="1" applyFill="1" applyBorder="1" applyAlignment="1">
      <alignment horizontal="left"/>
    </xf>
    <xf numFmtId="0" fontId="14" fillId="0" borderId="41" xfId="0" applyFont="1" applyFill="1" applyBorder="1" applyAlignment="1">
      <alignment horizontal="left"/>
    </xf>
    <xf numFmtId="0" fontId="13" fillId="0" borderId="42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2" applyFont="1" applyFill="1" applyBorder="1" applyAlignment="1" applyProtection="1">
      <alignment horizontal="center"/>
      <protection locked="0"/>
    </xf>
    <xf numFmtId="165" fontId="0" fillId="0" borderId="9" xfId="2" applyFont="1" applyFill="1" applyBorder="1" applyAlignment="1" applyProtection="1">
      <protection locked="0"/>
    </xf>
    <xf numFmtId="9" fontId="0" fillId="0" borderId="9" xfId="3" applyFont="1" applyFill="1" applyBorder="1" applyAlignment="1" applyProtection="1">
      <protection locked="0"/>
    </xf>
    <xf numFmtId="165" fontId="0" fillId="0" borderId="10" xfId="2" applyFont="1" applyFill="1" applyBorder="1" applyAlignment="1" applyProtection="1">
      <alignment horizontal="center"/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3" applyFont="1" applyFill="1" applyBorder="1" applyAlignment="1" applyProtection="1">
      <protection locked="0"/>
    </xf>
    <xf numFmtId="0" fontId="13" fillId="0" borderId="0" xfId="0" applyFont="1" applyFill="1" applyBorder="1" applyAlignment="1">
      <alignment horizontal="right"/>
    </xf>
    <xf numFmtId="165" fontId="13" fillId="0" borderId="0" xfId="2" applyFont="1" applyFill="1" applyBorder="1" applyAlignment="1" applyProtection="1">
      <alignment horizontal="center"/>
    </xf>
    <xf numFmtId="165" fontId="13" fillId="0" borderId="2" xfId="2" applyFont="1" applyFill="1" applyBorder="1" applyAlignment="1" applyProtection="1">
      <alignment horizontal="center"/>
      <protection locked="0"/>
    </xf>
    <xf numFmtId="165" fontId="13" fillId="0" borderId="0" xfId="2" applyFont="1" applyFill="1" applyBorder="1" applyAlignment="1" applyProtection="1"/>
    <xf numFmtId="9" fontId="0" fillId="0" borderId="0" xfId="3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3" fillId="0" borderId="12" xfId="2" applyFont="1" applyFill="1" applyBorder="1" applyAlignment="1" applyProtection="1"/>
    <xf numFmtId="9" fontId="13" fillId="0" borderId="12" xfId="3" applyFont="1" applyFill="1" applyBorder="1" applyAlignment="1" applyProtection="1"/>
    <xf numFmtId="165" fontId="13" fillId="0" borderId="13" xfId="2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4" fillId="0" borderId="20" xfId="0" applyFont="1" applyFill="1" applyBorder="1" applyAlignment="1" applyProtection="1">
      <alignment horizontal="left"/>
    </xf>
    <xf numFmtId="0" fontId="14" fillId="0" borderId="21" xfId="0" applyFont="1" applyFill="1" applyBorder="1" applyAlignment="1" applyProtection="1">
      <alignment horizontal="center"/>
    </xf>
    <xf numFmtId="0" fontId="14" fillId="0" borderId="22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3" fillId="0" borderId="27" xfId="0" applyFont="1" applyFill="1" applyBorder="1" applyProtection="1"/>
    <xf numFmtId="0" fontId="13" fillId="0" borderId="0" xfId="0" applyFont="1" applyFill="1" applyAlignment="1" applyProtection="1">
      <alignment horizontal="center"/>
    </xf>
    <xf numFmtId="0" fontId="0" fillId="0" borderId="48" xfId="0" applyFill="1" applyBorder="1" applyProtection="1"/>
    <xf numFmtId="165" fontId="13" fillId="0" borderId="18" xfId="2" applyFont="1" applyFill="1" applyBorder="1" applyAlignment="1" applyProtection="1">
      <alignment horizontal="center"/>
    </xf>
    <xf numFmtId="0" fontId="13" fillId="0" borderId="16" xfId="0" applyFont="1" applyFill="1" applyBorder="1" applyProtection="1"/>
    <xf numFmtId="0" fontId="13" fillId="0" borderId="16" xfId="0" applyFont="1" applyFill="1" applyBorder="1" applyAlignment="1" applyProtection="1">
      <alignment horizontal="left"/>
    </xf>
    <xf numFmtId="0" fontId="13" fillId="0" borderId="11" xfId="0" applyFont="1" applyFill="1" applyBorder="1" applyProtection="1"/>
    <xf numFmtId="0" fontId="14" fillId="0" borderId="0" xfId="0" applyFont="1" applyFill="1" applyProtection="1"/>
    <xf numFmtId="0" fontId="14" fillId="0" borderId="31" xfId="0" applyFont="1" applyFill="1" applyBorder="1" applyAlignment="1" applyProtection="1">
      <alignment horizontal="left"/>
    </xf>
    <xf numFmtId="0" fontId="14" fillId="0" borderId="26" xfId="0" applyFont="1" applyFill="1" applyBorder="1" applyAlignment="1" applyProtection="1">
      <alignment horizontal="center"/>
    </xf>
    <xf numFmtId="0" fontId="14" fillId="0" borderId="32" xfId="0" applyFont="1" applyFill="1" applyBorder="1" applyAlignment="1" applyProtection="1">
      <alignment horizontal="center"/>
    </xf>
    <xf numFmtId="0" fontId="13" fillId="0" borderId="23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 wrapText="1"/>
    </xf>
    <xf numFmtId="0" fontId="13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3" fillId="0" borderId="35" xfId="0" applyFont="1" applyFill="1" applyBorder="1" applyProtection="1"/>
    <xf numFmtId="0" fontId="13" fillId="0" borderId="35" xfId="0" applyFont="1" applyFill="1" applyBorder="1" applyAlignment="1" applyProtection="1">
      <alignment horizontal="left"/>
    </xf>
    <xf numFmtId="0" fontId="13" fillId="0" borderId="37" xfId="0" applyFont="1" applyFill="1" applyBorder="1" applyProtection="1"/>
    <xf numFmtId="0" fontId="0" fillId="0" borderId="0" xfId="0" applyProtection="1"/>
    <xf numFmtId="0" fontId="14" fillId="0" borderId="8" xfId="0" applyFont="1" applyFill="1" applyBorder="1" applyAlignment="1" applyProtection="1">
      <alignment horizontal="left"/>
    </xf>
    <xf numFmtId="0" fontId="14" fillId="0" borderId="9" xfId="0" applyFont="1" applyFill="1" applyBorder="1" applyAlignment="1" applyProtection="1">
      <alignment horizontal="center"/>
    </xf>
    <xf numFmtId="0" fontId="14" fillId="0" borderId="49" xfId="0" applyFont="1" applyFill="1" applyBorder="1" applyAlignment="1" applyProtection="1">
      <alignment horizontal="center"/>
    </xf>
    <xf numFmtId="0" fontId="14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3" fillId="0" borderId="17" xfId="0" applyFont="1" applyFill="1" applyBorder="1" applyAlignment="1" applyProtection="1">
      <alignment horizontal="center"/>
    </xf>
    <xf numFmtId="0" fontId="13" fillId="0" borderId="30" xfId="0" applyFont="1" applyFill="1" applyBorder="1" applyAlignment="1" applyProtection="1">
      <alignment horizontal="center"/>
    </xf>
    <xf numFmtId="0" fontId="13" fillId="0" borderId="19" xfId="0" applyFont="1" applyFill="1" applyBorder="1" applyAlignment="1" applyProtection="1">
      <alignment horizontal="center"/>
    </xf>
    <xf numFmtId="168" fontId="0" fillId="0" borderId="30" xfId="1" applyFont="1" applyFill="1" applyBorder="1" applyAlignment="1" applyProtection="1">
      <alignment horizontal="center"/>
      <protection locked="0"/>
    </xf>
    <xf numFmtId="168" fontId="0" fillId="0" borderId="17" xfId="1" applyFont="1" applyFill="1" applyBorder="1" applyAlignment="1" applyProtection="1">
      <protection locked="0"/>
    </xf>
    <xf numFmtId="168" fontId="0" fillId="0" borderId="30" xfId="1" applyFont="1" applyFill="1" applyBorder="1" applyAlignment="1" applyProtection="1">
      <protection locked="0"/>
    </xf>
    <xf numFmtId="168" fontId="0" fillId="0" borderId="19" xfId="1" applyFont="1" applyFill="1" applyBorder="1" applyAlignment="1" applyProtection="1">
      <protection locked="0"/>
    </xf>
    <xf numFmtId="165" fontId="13" fillId="0" borderId="30" xfId="2" applyFont="1" applyFill="1" applyBorder="1" applyAlignment="1" applyProtection="1">
      <alignment horizontal="center"/>
      <protection locked="0"/>
    </xf>
    <xf numFmtId="165" fontId="0" fillId="0" borderId="28" xfId="2" applyFont="1" applyFill="1" applyBorder="1" applyAlignment="1" applyProtection="1">
      <protection locked="0"/>
    </xf>
    <xf numFmtId="0" fontId="0" fillId="0" borderId="23" xfId="0" applyFill="1" applyBorder="1" applyProtection="1"/>
    <xf numFmtId="0" fontId="13" fillId="0" borderId="24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13" fillId="0" borderId="8" xfId="0" applyFont="1" applyFill="1" applyBorder="1" applyProtection="1"/>
    <xf numFmtId="168" fontId="0" fillId="0" borderId="9" xfId="1" applyFont="1" applyFill="1" applyBorder="1" applyAlignment="1" applyProtection="1">
      <alignment horizontal="center"/>
      <protection locked="0"/>
    </xf>
    <xf numFmtId="168" fontId="0" fillId="0" borderId="10" xfId="1" applyFont="1" applyFill="1" applyBorder="1" applyAlignment="1" applyProtection="1">
      <alignment horizontal="center"/>
      <protection locked="0"/>
    </xf>
    <xf numFmtId="168" fontId="0" fillId="0" borderId="17" xfId="1" applyFont="1" applyFill="1" applyBorder="1" applyAlignment="1" applyProtection="1">
      <alignment horizontal="center"/>
    </xf>
    <xf numFmtId="168" fontId="0" fillId="0" borderId="19" xfId="1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 wrapText="1"/>
    </xf>
    <xf numFmtId="0" fontId="13" fillId="0" borderId="13" xfId="0" applyFont="1" applyFill="1" applyBorder="1" applyAlignment="1" applyProtection="1">
      <alignment horizontal="center" wrapText="1"/>
    </xf>
    <xf numFmtId="0" fontId="13" fillId="0" borderId="33" xfId="0" applyFont="1" applyFill="1" applyBorder="1" applyAlignment="1" applyProtection="1">
      <alignment horizontal="center"/>
    </xf>
    <xf numFmtId="0" fontId="13" fillId="0" borderId="35" xfId="0" applyFont="1" applyFill="1" applyBorder="1" applyAlignment="1" applyProtection="1">
      <alignment horizontal="center"/>
    </xf>
    <xf numFmtId="0" fontId="13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0" fontId="15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0" fillId="0" borderId="16" xfId="0" applyFill="1" applyBorder="1"/>
    <xf numFmtId="0" fontId="0" fillId="0" borderId="16" xfId="0" applyFill="1" applyBorder="1" applyAlignment="1">
      <alignment horizontal="left"/>
    </xf>
    <xf numFmtId="43" fontId="0" fillId="0" borderId="0" xfId="0" applyNumberFormat="1" applyFill="1"/>
    <xf numFmtId="165" fontId="0" fillId="0" borderId="0" xfId="0" applyNumberFormat="1" applyFill="1"/>
    <xf numFmtId="170" fontId="0" fillId="0" borderId="17" xfId="2" applyNumberFormat="1" applyFont="1" applyFill="1" applyBorder="1" applyAlignment="1" applyProtection="1">
      <protection locked="0"/>
    </xf>
    <xf numFmtId="165" fontId="13" fillId="0" borderId="17" xfId="2" applyFont="1" applyFill="1" applyBorder="1" applyAlignment="1" applyProtection="1">
      <protection locked="0"/>
    </xf>
    <xf numFmtId="165" fontId="13" fillId="0" borderId="12" xfId="2" applyFont="1" applyFill="1" applyBorder="1" applyAlignment="1" applyProtection="1">
      <protection locked="0"/>
    </xf>
    <xf numFmtId="166" fontId="0" fillId="0" borderId="44" xfId="0" applyNumberFormat="1" applyFill="1" applyBorder="1"/>
    <xf numFmtId="10" fontId="0" fillId="0" borderId="24" xfId="0" applyNumberFormat="1" applyFill="1" applyBorder="1" applyAlignment="1" applyProtection="1">
      <alignment horizontal="center"/>
      <protection locked="0"/>
    </xf>
    <xf numFmtId="10" fontId="0" fillId="0" borderId="12" xfId="2" applyNumberFormat="1" applyFont="1" applyFill="1" applyBorder="1" applyAlignment="1" applyProtection="1">
      <alignment horizontal="center"/>
      <protection locked="0"/>
    </xf>
    <xf numFmtId="10" fontId="0" fillId="0" borderId="13" xfId="2" applyNumberFormat="1" applyFont="1" applyFill="1" applyBorder="1" applyAlignment="1" applyProtection="1">
      <alignment horizontal="center"/>
      <protection locked="0"/>
    </xf>
    <xf numFmtId="10" fontId="0" fillId="0" borderId="25" xfId="0" applyNumberFormat="1" applyFill="1" applyBorder="1" applyAlignment="1" applyProtection="1">
      <alignment horizontal="center"/>
      <protection locked="0"/>
    </xf>
    <xf numFmtId="165" fontId="13" fillId="0" borderId="17" xfId="0" applyNumberFormat="1" applyFont="1" applyFill="1" applyBorder="1" applyAlignment="1" applyProtection="1">
      <alignment horizontal="center"/>
      <protection locked="0"/>
    </xf>
    <xf numFmtId="165" fontId="13" fillId="0" borderId="19" xfId="0" applyNumberFormat="1" applyFont="1" applyFill="1" applyBorder="1" applyAlignment="1" applyProtection="1">
      <alignment horizontal="center"/>
      <protection locked="0"/>
    </xf>
    <xf numFmtId="10" fontId="0" fillId="0" borderId="24" xfId="3" applyNumberFormat="1" applyFont="1" applyFill="1" applyBorder="1" applyAlignment="1" applyProtection="1">
      <alignment horizontal="center"/>
      <protection locked="0"/>
    </xf>
    <xf numFmtId="10" fontId="0" fillId="0" borderId="25" xfId="3" applyNumberFormat="1" applyFont="1" applyFill="1" applyBorder="1" applyAlignment="1" applyProtection="1">
      <alignment horizontal="center"/>
      <protection locked="0"/>
    </xf>
    <xf numFmtId="10" fontId="0" fillId="0" borderId="12" xfId="3" applyNumberFormat="1" applyFont="1" applyFill="1" applyBorder="1" applyAlignment="1" applyProtection="1">
      <alignment horizontal="center"/>
      <protection locked="0"/>
    </xf>
    <xf numFmtId="10" fontId="0" fillId="0" borderId="13" xfId="3" applyNumberFormat="1" applyFont="1" applyFill="1" applyBorder="1" applyAlignment="1" applyProtection="1">
      <alignment horizontal="center"/>
      <protection locked="0"/>
    </xf>
    <xf numFmtId="165" fontId="0" fillId="0" borderId="24" xfId="0" applyNumberFormat="1" applyFont="1" applyFill="1" applyBorder="1" applyAlignment="1">
      <alignment horizontal="center"/>
    </xf>
    <xf numFmtId="165" fontId="0" fillId="0" borderId="25" xfId="0" applyNumberFormat="1" applyFont="1" applyFill="1" applyBorder="1" applyAlignment="1">
      <alignment horizontal="center"/>
    </xf>
    <xf numFmtId="165" fontId="0" fillId="0" borderId="24" xfId="0" applyNumberFormat="1" applyFill="1" applyBorder="1" applyAlignment="1">
      <alignment horizontal="center"/>
    </xf>
    <xf numFmtId="165" fontId="0" fillId="0" borderId="50" xfId="0" applyNumberFormat="1" applyFill="1" applyBorder="1"/>
    <xf numFmtId="165" fontId="0" fillId="0" borderId="0" xfId="0" applyNumberFormat="1" applyFill="1" applyBorder="1"/>
    <xf numFmtId="165" fontId="0" fillId="0" borderId="51" xfId="0" applyNumberFormat="1" applyFill="1" applyBorder="1"/>
    <xf numFmtId="0" fontId="0" fillId="0" borderId="0" xfId="0" applyFont="1" applyFill="1" applyBorder="1" applyAlignment="1">
      <alignment horizontal="left"/>
    </xf>
    <xf numFmtId="165" fontId="0" fillId="0" borderId="0" xfId="0" applyNumberFormat="1" applyFill="1" applyAlignment="1">
      <alignment horizontal="left"/>
    </xf>
    <xf numFmtId="165" fontId="13" fillId="0" borderId="19" xfId="2" applyFont="1" applyFill="1" applyBorder="1" applyAlignment="1" applyProtection="1">
      <protection locked="0"/>
    </xf>
    <xf numFmtId="165" fontId="13" fillId="0" borderId="13" xfId="2" applyFont="1" applyFill="1" applyBorder="1" applyAlignment="1" applyProtection="1">
      <protection locked="0"/>
    </xf>
    <xf numFmtId="9" fontId="0" fillId="0" borderId="0" xfId="0" applyNumberFormat="1" applyFill="1"/>
    <xf numFmtId="165" fontId="0" fillId="0" borderId="0" xfId="2" applyFont="1" applyFill="1" applyBorder="1" applyAlignment="1" applyProtection="1">
      <alignment horizontal="left"/>
      <protection locked="0"/>
    </xf>
    <xf numFmtId="0" fontId="0" fillId="0" borderId="0" xfId="0" applyFill="1" applyAlignment="1">
      <alignment horizontal="right"/>
    </xf>
    <xf numFmtId="9" fontId="0" fillId="0" borderId="0" xfId="0" applyNumberFormat="1" applyFill="1" applyAlignment="1">
      <alignment horizontal="right"/>
    </xf>
    <xf numFmtId="0" fontId="0" fillId="0" borderId="0" xfId="2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ill="1" applyAlignment="1">
      <alignment horizontal="right"/>
    </xf>
    <xf numFmtId="0" fontId="17" fillId="0" borderId="0" xfId="0" applyFont="1" applyFill="1"/>
    <xf numFmtId="16" fontId="0" fillId="0" borderId="0" xfId="0" applyNumberFormat="1" applyFill="1"/>
    <xf numFmtId="2" fontId="0" fillId="0" borderId="0" xfId="0" applyNumberFormat="1" applyFill="1"/>
    <xf numFmtId="0" fontId="0" fillId="11" borderId="0" xfId="0" applyFill="1"/>
    <xf numFmtId="9" fontId="0" fillId="0" borderId="54" xfId="0" applyNumberFormat="1" applyFill="1" applyBorder="1"/>
    <xf numFmtId="171" fontId="0" fillId="0" borderId="0" xfId="0" applyNumberFormat="1" applyFill="1"/>
    <xf numFmtId="10" fontId="0" fillId="0" borderId="0" xfId="0" applyNumberFormat="1" applyFill="1"/>
    <xf numFmtId="0" fontId="18" fillId="0" borderId="0" xfId="0" applyFont="1" applyFill="1"/>
    <xf numFmtId="0" fontId="13" fillId="0" borderId="24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165" fontId="0" fillId="0" borderId="49" xfId="2" applyFont="1" applyFill="1" applyBorder="1" applyAlignment="1" applyProtection="1">
      <alignment horizontal="center"/>
      <protection locked="0"/>
    </xf>
    <xf numFmtId="166" fontId="0" fillId="0" borderId="30" xfId="0" applyNumberFormat="1" applyFill="1" applyBorder="1" applyAlignment="1">
      <alignment horizontal="center"/>
    </xf>
    <xf numFmtId="9" fontId="0" fillId="0" borderId="30" xfId="3" applyFont="1" applyFill="1" applyBorder="1" applyAlignment="1" applyProtection="1">
      <alignment horizontal="center"/>
      <protection locked="0"/>
    </xf>
    <xf numFmtId="9" fontId="0" fillId="0" borderId="28" xfId="3" applyFont="1" applyFill="1" applyBorder="1" applyAlignment="1" applyProtection="1">
      <alignment horizontal="center"/>
      <protection locked="0"/>
    </xf>
    <xf numFmtId="165" fontId="0" fillId="0" borderId="43" xfId="0" applyNumberFormat="1" applyFill="1" applyBorder="1"/>
    <xf numFmtId="165" fontId="0" fillId="0" borderId="21" xfId="2" applyFont="1" applyFill="1" applyBorder="1" applyAlignment="1" applyProtection="1">
      <alignment horizontal="center"/>
      <protection locked="0"/>
    </xf>
    <xf numFmtId="165" fontId="0" fillId="0" borderId="26" xfId="2" applyFont="1" applyFill="1" applyBorder="1" applyAlignment="1" applyProtection="1">
      <alignment horizontal="center"/>
      <protection locked="0"/>
    </xf>
    <xf numFmtId="166" fontId="0" fillId="0" borderId="26" xfId="0" applyNumberFormat="1" applyFill="1" applyBorder="1" applyAlignment="1">
      <alignment horizontal="center"/>
    </xf>
    <xf numFmtId="165" fontId="0" fillId="0" borderId="26" xfId="2" applyFont="1" applyFill="1" applyBorder="1" applyAlignment="1" applyProtection="1">
      <alignment horizontal="center"/>
    </xf>
    <xf numFmtId="9" fontId="0" fillId="0" borderId="26" xfId="3" applyFont="1" applyFill="1" applyBorder="1" applyAlignment="1" applyProtection="1">
      <alignment horizontal="center"/>
      <protection locked="0"/>
    </xf>
    <xf numFmtId="9" fontId="0" fillId="0" borderId="27" xfId="3" applyFont="1" applyFill="1" applyBorder="1" applyAlignment="1" applyProtection="1">
      <alignment horizontal="center"/>
      <protection locked="0"/>
    </xf>
    <xf numFmtId="165" fontId="0" fillId="0" borderId="22" xfId="2" applyFont="1" applyFill="1" applyBorder="1" applyAlignment="1" applyProtection="1">
      <alignment horizontal="center"/>
      <protection locked="0"/>
    </xf>
    <xf numFmtId="165" fontId="0" fillId="0" borderId="32" xfId="2" applyFont="1" applyFill="1" applyBorder="1" applyAlignment="1" applyProtection="1">
      <alignment horizontal="center"/>
      <protection locked="0"/>
    </xf>
    <xf numFmtId="166" fontId="0" fillId="0" borderId="32" xfId="0" applyNumberFormat="1" applyFill="1" applyBorder="1"/>
    <xf numFmtId="165" fontId="0" fillId="0" borderId="32" xfId="2" applyFont="1" applyFill="1" applyBorder="1" applyAlignment="1" applyProtection="1">
      <alignment horizontal="center"/>
    </xf>
    <xf numFmtId="9" fontId="0" fillId="0" borderId="32" xfId="3" applyFont="1" applyFill="1" applyBorder="1" applyAlignment="1" applyProtection="1">
      <alignment horizontal="center"/>
      <protection locked="0"/>
    </xf>
    <xf numFmtId="9" fontId="0" fillId="0" borderId="55" xfId="3" applyFont="1" applyFill="1" applyBorder="1" applyAlignment="1" applyProtection="1">
      <alignment horizontal="center"/>
      <protection locked="0"/>
    </xf>
    <xf numFmtId="165" fontId="16" fillId="0" borderId="17" xfId="2" applyFont="1" applyFill="1" applyBorder="1" applyAlignment="1" applyProtection="1">
      <alignment horizontal="center"/>
      <protection locked="0"/>
    </xf>
    <xf numFmtId="3" fontId="16" fillId="0" borderId="17" xfId="2" applyNumberFormat="1" applyFont="1" applyFill="1" applyBorder="1" applyAlignment="1" applyProtection="1">
      <alignment horizontal="center"/>
      <protection locked="0"/>
    </xf>
    <xf numFmtId="3" fontId="16" fillId="0" borderId="19" xfId="2" applyNumberFormat="1" applyFont="1" applyFill="1" applyBorder="1" applyAlignment="1" applyProtection="1">
      <alignment horizontal="center"/>
      <protection locked="0"/>
    </xf>
    <xf numFmtId="10" fontId="0" fillId="0" borderId="17" xfId="3" applyNumberFormat="1" applyFont="1" applyFill="1" applyBorder="1" applyAlignment="1" applyProtection="1">
      <protection locked="0"/>
    </xf>
    <xf numFmtId="165" fontId="0" fillId="0" borderId="17" xfId="3" applyNumberFormat="1" applyFont="1" applyFill="1" applyBorder="1" applyAlignment="1" applyProtection="1">
      <protection locked="0"/>
    </xf>
    <xf numFmtId="165" fontId="0" fillId="0" borderId="19" xfId="3" applyNumberFormat="1" applyFont="1" applyFill="1" applyBorder="1" applyAlignment="1" applyProtection="1">
      <protection locked="0"/>
    </xf>
    <xf numFmtId="0" fontId="0" fillId="0" borderId="9" xfId="1" applyNumberFormat="1" applyFont="1" applyFill="1" applyBorder="1" applyAlignment="1" applyProtection="1">
      <alignment horizontal="center"/>
      <protection locked="0"/>
    </xf>
    <xf numFmtId="0" fontId="0" fillId="0" borderId="10" xfId="1" applyNumberFormat="1" applyFont="1" applyFill="1" applyBorder="1" applyAlignment="1" applyProtection="1">
      <alignment horizontal="center"/>
      <protection locked="0"/>
    </xf>
    <xf numFmtId="165" fontId="16" fillId="0" borderId="19" xfId="2" applyFont="1" applyFill="1" applyBorder="1" applyAlignment="1" applyProtection="1">
      <alignment horizontal="center"/>
      <protection locked="0"/>
    </xf>
    <xf numFmtId="10" fontId="0" fillId="0" borderId="19" xfId="3" applyNumberFormat="1" applyFont="1" applyFill="1" applyBorder="1" applyAlignment="1" applyProtection="1">
      <protection locked="0"/>
    </xf>
    <xf numFmtId="165" fontId="0" fillId="0" borderId="12" xfId="3" applyNumberFormat="1" applyFont="1" applyFill="1" applyBorder="1" applyAlignment="1" applyProtection="1">
      <protection locked="0"/>
    </xf>
    <xf numFmtId="165" fontId="0" fillId="0" borderId="13" xfId="3" applyNumberFormat="1" applyFont="1" applyFill="1" applyBorder="1" applyAlignment="1" applyProtection="1">
      <protection locked="0"/>
    </xf>
    <xf numFmtId="10" fontId="0" fillId="0" borderId="12" xfId="2" applyNumberFormat="1" applyFont="1" applyFill="1" applyBorder="1" applyAlignment="1" applyProtection="1">
      <protection locked="0"/>
    </xf>
    <xf numFmtId="10" fontId="0" fillId="0" borderId="13" xfId="2" applyNumberFormat="1" applyFont="1" applyFill="1" applyBorder="1" applyAlignment="1" applyProtection="1">
      <protection locked="0"/>
    </xf>
    <xf numFmtId="165" fontId="0" fillId="0" borderId="10" xfId="2" applyFont="1" applyFill="1" applyBorder="1" applyAlignment="1" applyProtection="1"/>
    <xf numFmtId="0" fontId="0" fillId="0" borderId="52" xfId="0" applyFill="1" applyBorder="1"/>
    <xf numFmtId="0" fontId="0" fillId="0" borderId="53" xfId="0" applyFill="1" applyBorder="1"/>
    <xf numFmtId="0" fontId="0" fillId="0" borderId="56" xfId="0" applyFill="1" applyBorder="1"/>
    <xf numFmtId="165" fontId="0" fillId="0" borderId="57" xfId="0" applyNumberFormat="1" applyFill="1" applyBorder="1"/>
    <xf numFmtId="0" fontId="0" fillId="12" borderId="0" xfId="0" applyFill="1"/>
    <xf numFmtId="165" fontId="0" fillId="12" borderId="0" xfId="0" applyNumberFormat="1" applyFill="1"/>
    <xf numFmtId="0" fontId="0" fillId="13" borderId="0" xfId="0" applyFill="1" applyBorder="1"/>
    <xf numFmtId="165" fontId="0" fillId="13" borderId="0" xfId="0" applyNumberFormat="1" applyFill="1"/>
    <xf numFmtId="0" fontId="0" fillId="14" borderId="0" xfId="0" applyFill="1" applyBorder="1"/>
    <xf numFmtId="165" fontId="0" fillId="14" borderId="0" xfId="0" applyNumberFormat="1" applyFill="1"/>
    <xf numFmtId="0" fontId="0" fillId="10" borderId="0" xfId="0" applyFill="1"/>
    <xf numFmtId="165" fontId="0" fillId="10" borderId="0" xfId="0" applyNumberFormat="1" applyFill="1"/>
    <xf numFmtId="0" fontId="0" fillId="15" borderId="0" xfId="0" applyFill="1" applyBorder="1"/>
    <xf numFmtId="165" fontId="0" fillId="15" borderId="0" xfId="0" applyNumberFormat="1" applyFill="1"/>
    <xf numFmtId="0" fontId="13" fillId="16" borderId="54" xfId="0" applyFont="1" applyFill="1" applyBorder="1"/>
    <xf numFmtId="0" fontId="0" fillId="16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1" applyNumberFormat="1" applyFont="1" applyFill="1" applyBorder="1" applyAlignment="1" applyProtection="1">
      <alignment horizontal="center"/>
      <protection locked="0"/>
    </xf>
    <xf numFmtId="165" fontId="0" fillId="0" borderId="17" xfId="0" applyNumberFormat="1" applyFill="1" applyBorder="1"/>
    <xf numFmtId="0" fontId="0" fillId="0" borderId="0" xfId="0" applyFill="1" applyBorder="1"/>
    <xf numFmtId="0" fontId="0" fillId="9" borderId="2" xfId="0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0" fillId="0" borderId="58" xfId="0" applyFill="1" applyBorder="1"/>
    <xf numFmtId="16" fontId="0" fillId="0" borderId="58" xfId="0" applyNumberFormat="1" applyFill="1" applyBorder="1"/>
    <xf numFmtId="165" fontId="0" fillId="0" borderId="58" xfId="0" applyNumberFormat="1" applyFill="1" applyBorder="1"/>
    <xf numFmtId="165" fontId="0" fillId="0" borderId="17" xfId="0" applyNumberFormat="1" applyFill="1" applyBorder="1" applyAlignment="1" applyProtection="1">
      <alignment horizontal="center"/>
      <protection locked="0"/>
    </xf>
    <xf numFmtId="165" fontId="0" fillId="0" borderId="19" xfId="0" applyNumberFormat="1" applyFill="1" applyBorder="1" applyProtection="1">
      <protection locked="0"/>
    </xf>
    <xf numFmtId="165" fontId="0" fillId="0" borderId="24" xfId="0" applyNumberFormat="1" applyFill="1" applyBorder="1" applyAlignment="1" applyProtection="1">
      <alignment horizontal="center"/>
      <protection locked="0"/>
    </xf>
    <xf numFmtId="165" fontId="0" fillId="0" borderId="9" xfId="2" applyFont="1" applyFill="1" applyBorder="1" applyAlignment="1" applyProtection="1">
      <alignment horizontal="center"/>
    </xf>
    <xf numFmtId="165" fontId="0" fillId="0" borderId="10" xfId="2" applyFont="1" applyFill="1" applyBorder="1" applyAlignment="1" applyProtection="1">
      <alignment horizontal="center"/>
    </xf>
    <xf numFmtId="165" fontId="0" fillId="0" borderId="25" xfId="0" applyNumberFormat="1" applyFill="1" applyBorder="1" applyAlignment="1" applyProtection="1">
      <alignment horizontal="center"/>
      <protection locked="0"/>
    </xf>
    <xf numFmtId="165" fontId="0" fillId="0" borderId="8" xfId="2" applyFont="1" applyFill="1" applyBorder="1" applyAlignment="1" applyProtection="1">
      <alignment horizontal="center"/>
    </xf>
    <xf numFmtId="165" fontId="0" fillId="0" borderId="16" xfId="2" applyFont="1" applyFill="1" applyBorder="1" applyAlignment="1" applyProtection="1">
      <alignment horizontal="center"/>
      <protection locked="0"/>
    </xf>
    <xf numFmtId="165" fontId="0" fillId="0" borderId="16" xfId="2" applyFont="1" applyFill="1" applyBorder="1" applyAlignment="1" applyProtection="1">
      <alignment horizontal="center"/>
    </xf>
    <xf numFmtId="165" fontId="0" fillId="0" borderId="11" xfId="2" applyFont="1" applyFill="1" applyBorder="1" applyAlignment="1" applyProtection="1">
      <alignment horizontal="center"/>
      <protection locked="0"/>
    </xf>
    <xf numFmtId="43" fontId="0" fillId="0" borderId="2" xfId="0" applyNumberFormat="1" applyFill="1" applyBorder="1" applyProtection="1">
      <protection locked="0"/>
    </xf>
  </cellXfs>
  <cellStyles count="20">
    <cellStyle name="Accent" xfId="16"/>
    <cellStyle name="Accent 1" xfId="17"/>
    <cellStyle name="Accent 2" xfId="18"/>
    <cellStyle name="Accent 3" xfId="19"/>
    <cellStyle name="Bad" xfId="13"/>
    <cellStyle name="Error" xfId="15"/>
    <cellStyle name="Footnote" xfId="9"/>
    <cellStyle name="Good" xfId="11"/>
    <cellStyle name="Heading" xfId="4"/>
    <cellStyle name="Heading 1" xfId="5"/>
    <cellStyle name="Heading 2" xfId="6"/>
    <cellStyle name="Millares" xfId="1" builtinId="3"/>
    <cellStyle name="Moneda" xfId="2" builtinId="4"/>
    <cellStyle name="Neutral" xfId="12" builtinId="28" customBuiltin="1"/>
    <cellStyle name="Normal" xfId="0" builtinId="0"/>
    <cellStyle name="Note" xfId="8"/>
    <cellStyle name="Porcentual" xfId="3" builtinId="5"/>
    <cellStyle name="Status" xfId="10"/>
    <cellStyle name="Text" xfId="7"/>
    <cellStyle name="Warning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1"/>
          <c:order val="0"/>
          <c:tx>
            <c:strRef>
              <c:f>'E-Costos'!$B$139</c:f>
              <c:strCache>
                <c:ptCount val="1"/>
                <c:pt idx="0">
                  <c:v>Gastos Fijos</c:v>
                </c:pt>
              </c:strCache>
            </c:strRef>
          </c:tx>
          <c:marker>
            <c:symbol val="none"/>
          </c:marker>
          <c:cat>
            <c:numRef>
              <c:f>'E-Costos'!$A$140:$A$164</c:f>
              <c:numCache>
                <c:formatCode>0</c:formatCode>
                <c:ptCount val="25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19</c:v>
                </c:pt>
                <c:pt idx="4">
                  <c:v>25</c:v>
                </c:pt>
                <c:pt idx="5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49</c:v>
                </c:pt>
                <c:pt idx="9">
                  <c:v>55</c:v>
                </c:pt>
                <c:pt idx="10">
                  <c:v>61</c:v>
                </c:pt>
                <c:pt idx="11">
                  <c:v>67</c:v>
                </c:pt>
                <c:pt idx="12">
                  <c:v>73</c:v>
                </c:pt>
                <c:pt idx="13">
                  <c:v>79</c:v>
                </c:pt>
                <c:pt idx="14">
                  <c:v>85</c:v>
                </c:pt>
                <c:pt idx="15">
                  <c:v>91</c:v>
                </c:pt>
                <c:pt idx="16">
                  <c:v>97</c:v>
                </c:pt>
                <c:pt idx="17">
                  <c:v>103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127</c:v>
                </c:pt>
                <c:pt idx="22">
                  <c:v>133</c:v>
                </c:pt>
                <c:pt idx="23">
                  <c:v>139</c:v>
                </c:pt>
                <c:pt idx="24">
                  <c:v>144</c:v>
                </c:pt>
              </c:numCache>
            </c:numRef>
          </c:cat>
          <c:val>
            <c:numRef>
              <c:f>'E-Costos'!$B$140:$B$164</c:f>
              <c:numCache>
                <c:formatCode>_(\$* #,##0.00_);_(\$* \(#,##0.00\);_(\$* \-??_);_(@_)</c:formatCode>
                <c:ptCount val="25"/>
                <c:pt idx="0">
                  <c:v>4517279.3322697915</c:v>
                </c:pt>
                <c:pt idx="1">
                  <c:v>4517279.3322697915</c:v>
                </c:pt>
                <c:pt idx="2">
                  <c:v>4517279.3322697915</c:v>
                </c:pt>
                <c:pt idx="3">
                  <c:v>4517279.3322697915</c:v>
                </c:pt>
                <c:pt idx="4">
                  <c:v>4517279.3322697915</c:v>
                </c:pt>
                <c:pt idx="5">
                  <c:v>4517279.3322697915</c:v>
                </c:pt>
                <c:pt idx="6">
                  <c:v>4517279.3322697915</c:v>
                </c:pt>
                <c:pt idx="7">
                  <c:v>4517279.3322697915</c:v>
                </c:pt>
                <c:pt idx="8">
                  <c:v>4517279.3322697915</c:v>
                </c:pt>
                <c:pt idx="9">
                  <c:v>4517279.3322697915</c:v>
                </c:pt>
                <c:pt idx="10">
                  <c:v>4517279.3322697915</c:v>
                </c:pt>
                <c:pt idx="11">
                  <c:v>4517279.3322697915</c:v>
                </c:pt>
                <c:pt idx="12">
                  <c:v>4517279.3322697915</c:v>
                </c:pt>
                <c:pt idx="13">
                  <c:v>4517279.3322697915</c:v>
                </c:pt>
                <c:pt idx="14">
                  <c:v>4517279.3322697915</c:v>
                </c:pt>
                <c:pt idx="15">
                  <c:v>4517279.3322697915</c:v>
                </c:pt>
                <c:pt idx="16">
                  <c:v>4517279.3322697915</c:v>
                </c:pt>
                <c:pt idx="17">
                  <c:v>4517279.3322697915</c:v>
                </c:pt>
                <c:pt idx="18">
                  <c:v>4517279.3322697915</c:v>
                </c:pt>
                <c:pt idx="19">
                  <c:v>4517279.3322697915</c:v>
                </c:pt>
                <c:pt idx="20">
                  <c:v>4517279.3322697915</c:v>
                </c:pt>
                <c:pt idx="21">
                  <c:v>4517279.3322697915</c:v>
                </c:pt>
                <c:pt idx="22">
                  <c:v>4517279.3322697915</c:v>
                </c:pt>
                <c:pt idx="23">
                  <c:v>4517279.3322697915</c:v>
                </c:pt>
                <c:pt idx="24">
                  <c:v>4517279.3322697915</c:v>
                </c:pt>
              </c:numCache>
            </c:numRef>
          </c:val>
        </c:ser>
        <c:ser>
          <c:idx val="2"/>
          <c:order val="1"/>
          <c:tx>
            <c:strRef>
              <c:f>'E-Costos'!$C$139</c:f>
              <c:strCache>
                <c:ptCount val="1"/>
                <c:pt idx="0">
                  <c:v>Gastos variables</c:v>
                </c:pt>
              </c:strCache>
            </c:strRef>
          </c:tx>
          <c:marker>
            <c:symbol val="none"/>
          </c:marker>
          <c:cat>
            <c:numRef>
              <c:f>'E-Costos'!$A$140:$A$164</c:f>
              <c:numCache>
                <c:formatCode>0</c:formatCode>
                <c:ptCount val="25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19</c:v>
                </c:pt>
                <c:pt idx="4">
                  <c:v>25</c:v>
                </c:pt>
                <c:pt idx="5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49</c:v>
                </c:pt>
                <c:pt idx="9">
                  <c:v>55</c:v>
                </c:pt>
                <c:pt idx="10">
                  <c:v>61</c:v>
                </c:pt>
                <c:pt idx="11">
                  <c:v>67</c:v>
                </c:pt>
                <c:pt idx="12">
                  <c:v>73</c:v>
                </c:pt>
                <c:pt idx="13">
                  <c:v>79</c:v>
                </c:pt>
                <c:pt idx="14">
                  <c:v>85</c:v>
                </c:pt>
                <c:pt idx="15">
                  <c:v>91</c:v>
                </c:pt>
                <c:pt idx="16">
                  <c:v>97</c:v>
                </c:pt>
                <c:pt idx="17">
                  <c:v>103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127</c:v>
                </c:pt>
                <c:pt idx="22">
                  <c:v>133</c:v>
                </c:pt>
                <c:pt idx="23">
                  <c:v>139</c:v>
                </c:pt>
                <c:pt idx="24">
                  <c:v>144</c:v>
                </c:pt>
              </c:numCache>
            </c:numRef>
          </c:cat>
          <c:val>
            <c:numRef>
              <c:f>'E-Costos'!$C$140:$C$164</c:f>
              <c:numCache>
                <c:formatCode>_(\$* #,##0.00_);_(\$* \(#,##0.00\);_(\$* \-??_);_(@_)</c:formatCode>
                <c:ptCount val="25"/>
                <c:pt idx="0">
                  <c:v>44002.418678499496</c:v>
                </c:pt>
                <c:pt idx="1">
                  <c:v>308016.93074949645</c:v>
                </c:pt>
                <c:pt idx="2">
                  <c:v>572031.44282049348</c:v>
                </c:pt>
                <c:pt idx="3">
                  <c:v>836045.9548914904</c:v>
                </c:pt>
                <c:pt idx="4">
                  <c:v>1100060.4669624874</c:v>
                </c:pt>
                <c:pt idx="5">
                  <c:v>1364074.9790334844</c:v>
                </c:pt>
                <c:pt idx="6">
                  <c:v>1628089.4911044813</c:v>
                </c:pt>
                <c:pt idx="7">
                  <c:v>1892104.0031754784</c:v>
                </c:pt>
                <c:pt idx="8">
                  <c:v>2156118.5152464751</c:v>
                </c:pt>
                <c:pt idx="9">
                  <c:v>2420133.0273174723</c:v>
                </c:pt>
                <c:pt idx="10">
                  <c:v>2684147.5393884694</c:v>
                </c:pt>
                <c:pt idx="11">
                  <c:v>2948162.0514594661</c:v>
                </c:pt>
                <c:pt idx="12">
                  <c:v>3212176.5635304633</c:v>
                </c:pt>
                <c:pt idx="13">
                  <c:v>3476191.0756014604</c:v>
                </c:pt>
                <c:pt idx="14">
                  <c:v>3740205.5876724571</c:v>
                </c:pt>
                <c:pt idx="15">
                  <c:v>4004220.0997434543</c:v>
                </c:pt>
                <c:pt idx="16">
                  <c:v>4268234.6118144514</c:v>
                </c:pt>
                <c:pt idx="17">
                  <c:v>4532249.1238854481</c:v>
                </c:pt>
                <c:pt idx="18">
                  <c:v>4796263.6359564448</c:v>
                </c:pt>
                <c:pt idx="19">
                  <c:v>5060278.1480274424</c:v>
                </c:pt>
                <c:pt idx="20">
                  <c:v>5324292.6600984391</c:v>
                </c:pt>
                <c:pt idx="21">
                  <c:v>5588307.1721694358</c:v>
                </c:pt>
                <c:pt idx="22">
                  <c:v>5852321.6842404334</c:v>
                </c:pt>
                <c:pt idx="23">
                  <c:v>6116336.1963114301</c:v>
                </c:pt>
                <c:pt idx="24">
                  <c:v>6336348.2897039279</c:v>
                </c:pt>
              </c:numCache>
            </c:numRef>
          </c:val>
        </c:ser>
        <c:ser>
          <c:idx val="3"/>
          <c:order val="2"/>
          <c:tx>
            <c:strRef>
              <c:f>'E-Costos'!$D$139</c:f>
              <c:strCache>
                <c:ptCount val="1"/>
                <c:pt idx="0">
                  <c:v>Gastos Totales</c:v>
                </c:pt>
              </c:strCache>
            </c:strRef>
          </c:tx>
          <c:marker>
            <c:symbol val="none"/>
          </c:marker>
          <c:cat>
            <c:numRef>
              <c:f>'E-Costos'!$A$140:$A$164</c:f>
              <c:numCache>
                <c:formatCode>0</c:formatCode>
                <c:ptCount val="25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19</c:v>
                </c:pt>
                <c:pt idx="4">
                  <c:v>25</c:v>
                </c:pt>
                <c:pt idx="5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49</c:v>
                </c:pt>
                <c:pt idx="9">
                  <c:v>55</c:v>
                </c:pt>
                <c:pt idx="10">
                  <c:v>61</c:v>
                </c:pt>
                <c:pt idx="11">
                  <c:v>67</c:v>
                </c:pt>
                <c:pt idx="12">
                  <c:v>73</c:v>
                </c:pt>
                <c:pt idx="13">
                  <c:v>79</c:v>
                </c:pt>
                <c:pt idx="14">
                  <c:v>85</c:v>
                </c:pt>
                <c:pt idx="15">
                  <c:v>91</c:v>
                </c:pt>
                <c:pt idx="16">
                  <c:v>97</c:v>
                </c:pt>
                <c:pt idx="17">
                  <c:v>103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127</c:v>
                </c:pt>
                <c:pt idx="22">
                  <c:v>133</c:v>
                </c:pt>
                <c:pt idx="23">
                  <c:v>139</c:v>
                </c:pt>
                <c:pt idx="24">
                  <c:v>144</c:v>
                </c:pt>
              </c:numCache>
            </c:numRef>
          </c:cat>
          <c:val>
            <c:numRef>
              <c:f>'E-Costos'!$D$140:$D$164</c:f>
              <c:numCache>
                <c:formatCode>_(\$* #,##0.00_);_(\$* \(#,##0.00\);_(\$* \-??_);_(@_)</c:formatCode>
                <c:ptCount val="25"/>
                <c:pt idx="0">
                  <c:v>4561281.7509482913</c:v>
                </c:pt>
                <c:pt idx="1">
                  <c:v>4825296.263019288</c:v>
                </c:pt>
                <c:pt idx="2">
                  <c:v>5089310.7750902846</c:v>
                </c:pt>
                <c:pt idx="3">
                  <c:v>5353325.2871612823</c:v>
                </c:pt>
                <c:pt idx="4">
                  <c:v>5617339.799232279</c:v>
                </c:pt>
                <c:pt idx="5">
                  <c:v>5881354.3113032756</c:v>
                </c:pt>
                <c:pt idx="6">
                  <c:v>6145368.8233742733</c:v>
                </c:pt>
                <c:pt idx="7">
                  <c:v>6409383.3354452699</c:v>
                </c:pt>
                <c:pt idx="8">
                  <c:v>6673397.8475162666</c:v>
                </c:pt>
                <c:pt idx="9">
                  <c:v>6937412.3595872633</c:v>
                </c:pt>
                <c:pt idx="10">
                  <c:v>7201426.8716582609</c:v>
                </c:pt>
                <c:pt idx="11">
                  <c:v>7465441.3837292576</c:v>
                </c:pt>
                <c:pt idx="12">
                  <c:v>7729455.8958002552</c:v>
                </c:pt>
                <c:pt idx="13">
                  <c:v>7993470.4078712519</c:v>
                </c:pt>
                <c:pt idx="14">
                  <c:v>8257484.9199422486</c:v>
                </c:pt>
                <c:pt idx="15">
                  <c:v>8521499.4320132453</c:v>
                </c:pt>
                <c:pt idx="16">
                  <c:v>8785513.944084242</c:v>
                </c:pt>
                <c:pt idx="17">
                  <c:v>9049528.4561552405</c:v>
                </c:pt>
                <c:pt idx="18">
                  <c:v>9313542.9682262354</c:v>
                </c:pt>
                <c:pt idx="19">
                  <c:v>9577557.4802972339</c:v>
                </c:pt>
                <c:pt idx="20">
                  <c:v>9841571.9923682306</c:v>
                </c:pt>
                <c:pt idx="21">
                  <c:v>10105586.504439227</c:v>
                </c:pt>
                <c:pt idx="22">
                  <c:v>10369601.016510226</c:v>
                </c:pt>
                <c:pt idx="23">
                  <c:v>10633615.528581221</c:v>
                </c:pt>
                <c:pt idx="24">
                  <c:v>10853627.621973719</c:v>
                </c:pt>
              </c:numCache>
            </c:numRef>
          </c:val>
        </c:ser>
        <c:ser>
          <c:idx val="4"/>
          <c:order val="3"/>
          <c:tx>
            <c:strRef>
              <c:f>'E-Costos'!$E$139</c:f>
              <c:strCache>
                <c:ptCount val="1"/>
                <c:pt idx="0">
                  <c:v>Ingreso</c:v>
                </c:pt>
              </c:strCache>
            </c:strRef>
          </c:tx>
          <c:marker>
            <c:symbol val="none"/>
          </c:marker>
          <c:cat>
            <c:numRef>
              <c:f>'E-Costos'!$A$140:$A$164</c:f>
              <c:numCache>
                <c:formatCode>0</c:formatCode>
                <c:ptCount val="25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19</c:v>
                </c:pt>
                <c:pt idx="4">
                  <c:v>25</c:v>
                </c:pt>
                <c:pt idx="5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49</c:v>
                </c:pt>
                <c:pt idx="9">
                  <c:v>55</c:v>
                </c:pt>
                <c:pt idx="10">
                  <c:v>61</c:v>
                </c:pt>
                <c:pt idx="11">
                  <c:v>67</c:v>
                </c:pt>
                <c:pt idx="12">
                  <c:v>73</c:v>
                </c:pt>
                <c:pt idx="13">
                  <c:v>79</c:v>
                </c:pt>
                <c:pt idx="14">
                  <c:v>85</c:v>
                </c:pt>
                <c:pt idx="15">
                  <c:v>91</c:v>
                </c:pt>
                <c:pt idx="16">
                  <c:v>97</c:v>
                </c:pt>
                <c:pt idx="17">
                  <c:v>103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127</c:v>
                </c:pt>
                <c:pt idx="22">
                  <c:v>133</c:v>
                </c:pt>
                <c:pt idx="23">
                  <c:v>139</c:v>
                </c:pt>
                <c:pt idx="24">
                  <c:v>144</c:v>
                </c:pt>
              </c:numCache>
            </c:numRef>
          </c:cat>
          <c:val>
            <c:numRef>
              <c:f>'E-Costos'!$E$140:$E$164</c:f>
              <c:numCache>
                <c:formatCode>_(\$* #,##0.00_);_(\$* \(#,##0.00\);_(\$* \-??_);_(@_)</c:formatCode>
                <c:ptCount val="25"/>
                <c:pt idx="0">
                  <c:v>200000</c:v>
                </c:pt>
                <c:pt idx="1">
                  <c:v>1400000</c:v>
                </c:pt>
                <c:pt idx="2">
                  <c:v>2600000</c:v>
                </c:pt>
                <c:pt idx="3">
                  <c:v>3800000</c:v>
                </c:pt>
                <c:pt idx="4">
                  <c:v>5000000</c:v>
                </c:pt>
                <c:pt idx="5">
                  <c:v>6200000</c:v>
                </c:pt>
                <c:pt idx="6">
                  <c:v>7400000</c:v>
                </c:pt>
                <c:pt idx="7">
                  <c:v>8600000</c:v>
                </c:pt>
                <c:pt idx="8">
                  <c:v>9800000</c:v>
                </c:pt>
                <c:pt idx="9">
                  <c:v>11000000</c:v>
                </c:pt>
                <c:pt idx="10">
                  <c:v>12200000</c:v>
                </c:pt>
                <c:pt idx="11">
                  <c:v>13400000</c:v>
                </c:pt>
                <c:pt idx="12">
                  <c:v>14600000</c:v>
                </c:pt>
                <c:pt idx="13">
                  <c:v>15800000</c:v>
                </c:pt>
                <c:pt idx="14">
                  <c:v>17000000</c:v>
                </c:pt>
                <c:pt idx="15">
                  <c:v>18200000</c:v>
                </c:pt>
                <c:pt idx="16">
                  <c:v>19400000</c:v>
                </c:pt>
                <c:pt idx="17">
                  <c:v>20600000</c:v>
                </c:pt>
                <c:pt idx="18">
                  <c:v>21800000</c:v>
                </c:pt>
                <c:pt idx="19">
                  <c:v>23000000</c:v>
                </c:pt>
                <c:pt idx="20">
                  <c:v>24200000</c:v>
                </c:pt>
                <c:pt idx="21">
                  <c:v>25400000</c:v>
                </c:pt>
                <c:pt idx="22">
                  <c:v>26600000</c:v>
                </c:pt>
                <c:pt idx="23">
                  <c:v>27800000</c:v>
                </c:pt>
                <c:pt idx="24">
                  <c:v>28800000</c:v>
                </c:pt>
              </c:numCache>
            </c:numRef>
          </c:val>
        </c:ser>
        <c:marker val="1"/>
        <c:axId val="70635904"/>
        <c:axId val="70637440"/>
      </c:lineChart>
      <c:catAx>
        <c:axId val="70635904"/>
        <c:scaling>
          <c:orientation val="minMax"/>
        </c:scaling>
        <c:axPos val="b"/>
        <c:numFmt formatCode="0" sourceLinked="1"/>
        <c:tickLblPos val="nextTo"/>
        <c:crossAx val="70637440"/>
        <c:crosses val="autoZero"/>
        <c:auto val="1"/>
        <c:lblAlgn val="ctr"/>
        <c:lblOffset val="100"/>
      </c:catAx>
      <c:valAx>
        <c:axId val="70637440"/>
        <c:scaling>
          <c:orientation val="minMax"/>
        </c:scaling>
        <c:axPos val="l"/>
        <c:majorGridlines/>
        <c:numFmt formatCode="_(\$* #,##0.00_);_(\$* \(#,##0.00\);_(\$* \-??_);_(@_)" sourceLinked="1"/>
        <c:tickLblPos val="nextTo"/>
        <c:crossAx val="706359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'E-Costos'!$B$167</c:f>
              <c:strCache>
                <c:ptCount val="1"/>
                <c:pt idx="0">
                  <c:v>Gastos Fijos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'E-Costos'!$A$168:$A$198</c:f>
              <c:numCache>
                <c:formatCode>0</c:formatCode>
                <c:ptCount val="31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19</c:v>
                </c:pt>
                <c:pt idx="4">
                  <c:v>25</c:v>
                </c:pt>
                <c:pt idx="5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49</c:v>
                </c:pt>
                <c:pt idx="9">
                  <c:v>55</c:v>
                </c:pt>
                <c:pt idx="10">
                  <c:v>61</c:v>
                </c:pt>
                <c:pt idx="11">
                  <c:v>67</c:v>
                </c:pt>
                <c:pt idx="12">
                  <c:v>73</c:v>
                </c:pt>
                <c:pt idx="13">
                  <c:v>79</c:v>
                </c:pt>
                <c:pt idx="14">
                  <c:v>85</c:v>
                </c:pt>
                <c:pt idx="15">
                  <c:v>91</c:v>
                </c:pt>
                <c:pt idx="16">
                  <c:v>97</c:v>
                </c:pt>
                <c:pt idx="17">
                  <c:v>103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127</c:v>
                </c:pt>
                <c:pt idx="22">
                  <c:v>133</c:v>
                </c:pt>
                <c:pt idx="23">
                  <c:v>139</c:v>
                </c:pt>
                <c:pt idx="24">
                  <c:v>145</c:v>
                </c:pt>
                <c:pt idx="25">
                  <c:v>151</c:v>
                </c:pt>
                <c:pt idx="26">
                  <c:v>157</c:v>
                </c:pt>
                <c:pt idx="27">
                  <c:v>163</c:v>
                </c:pt>
                <c:pt idx="28">
                  <c:v>169</c:v>
                </c:pt>
                <c:pt idx="29">
                  <c:v>175</c:v>
                </c:pt>
                <c:pt idx="30">
                  <c:v>180</c:v>
                </c:pt>
              </c:numCache>
            </c:numRef>
          </c:cat>
          <c:val>
            <c:numRef>
              <c:f>'E-Costos'!$B$168:$B$198</c:f>
              <c:numCache>
                <c:formatCode>_(\$* #,##0.00_);_(\$* \(#,##0.00\);_(\$* \-??_);_(@_)</c:formatCode>
                <c:ptCount val="31"/>
                <c:pt idx="0">
                  <c:v>4918331.0365380161</c:v>
                </c:pt>
                <c:pt idx="1">
                  <c:v>4918331.0365380161</c:v>
                </c:pt>
                <c:pt idx="2">
                  <c:v>4918331.0365380161</c:v>
                </c:pt>
                <c:pt idx="3">
                  <c:v>4918331.0365380161</c:v>
                </c:pt>
                <c:pt idx="4">
                  <c:v>4918331.0365380161</c:v>
                </c:pt>
                <c:pt idx="5">
                  <c:v>4918331.0365380161</c:v>
                </c:pt>
                <c:pt idx="6">
                  <c:v>4918331.0365380161</c:v>
                </c:pt>
                <c:pt idx="7">
                  <c:v>4918331.0365380161</c:v>
                </c:pt>
                <c:pt idx="8">
                  <c:v>4918331.0365380161</c:v>
                </c:pt>
                <c:pt idx="9">
                  <c:v>4918331.0365380161</c:v>
                </c:pt>
                <c:pt idx="10">
                  <c:v>4918331.0365380161</c:v>
                </c:pt>
                <c:pt idx="11">
                  <c:v>4918331.0365380161</c:v>
                </c:pt>
                <c:pt idx="12">
                  <c:v>4918331.0365380161</c:v>
                </c:pt>
                <c:pt idx="13">
                  <c:v>4918331.0365380161</c:v>
                </c:pt>
                <c:pt idx="14">
                  <c:v>4918331.0365380161</c:v>
                </c:pt>
                <c:pt idx="15">
                  <c:v>4918331.0365380161</c:v>
                </c:pt>
                <c:pt idx="16">
                  <c:v>4918331.0365380161</c:v>
                </c:pt>
                <c:pt idx="17">
                  <c:v>4918331.0365380161</c:v>
                </c:pt>
                <c:pt idx="18">
                  <c:v>4918331.0365380161</c:v>
                </c:pt>
                <c:pt idx="19">
                  <c:v>4918331.0365380161</c:v>
                </c:pt>
                <c:pt idx="20">
                  <c:v>4918331.0365380161</c:v>
                </c:pt>
                <c:pt idx="21">
                  <c:v>4918331.0365380161</c:v>
                </c:pt>
                <c:pt idx="22">
                  <c:v>4918331.0365380161</c:v>
                </c:pt>
                <c:pt idx="23">
                  <c:v>4918331.0365380161</c:v>
                </c:pt>
                <c:pt idx="24">
                  <c:v>4918331.0365380161</c:v>
                </c:pt>
                <c:pt idx="25">
                  <c:v>4918331.0365380161</c:v>
                </c:pt>
                <c:pt idx="26">
                  <c:v>4918331.0365380161</c:v>
                </c:pt>
                <c:pt idx="27">
                  <c:v>4918331.0365380161</c:v>
                </c:pt>
                <c:pt idx="28">
                  <c:v>4918331.0365380161</c:v>
                </c:pt>
                <c:pt idx="29">
                  <c:v>4918331.0365380161</c:v>
                </c:pt>
                <c:pt idx="30">
                  <c:v>4918331.0365380161</c:v>
                </c:pt>
              </c:numCache>
            </c:numRef>
          </c:val>
        </c:ser>
        <c:ser>
          <c:idx val="1"/>
          <c:order val="1"/>
          <c:tx>
            <c:strRef>
              <c:f>'E-Costos'!$C$167</c:f>
              <c:strCache>
                <c:ptCount val="1"/>
                <c:pt idx="0">
                  <c:v>Gastos variables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'E-Costos'!$A$168:$A$198</c:f>
              <c:numCache>
                <c:formatCode>0</c:formatCode>
                <c:ptCount val="31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19</c:v>
                </c:pt>
                <c:pt idx="4">
                  <c:v>25</c:v>
                </c:pt>
                <c:pt idx="5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49</c:v>
                </c:pt>
                <c:pt idx="9">
                  <c:v>55</c:v>
                </c:pt>
                <c:pt idx="10">
                  <c:v>61</c:v>
                </c:pt>
                <c:pt idx="11">
                  <c:v>67</c:v>
                </c:pt>
                <c:pt idx="12">
                  <c:v>73</c:v>
                </c:pt>
                <c:pt idx="13">
                  <c:v>79</c:v>
                </c:pt>
                <c:pt idx="14">
                  <c:v>85</c:v>
                </c:pt>
                <c:pt idx="15">
                  <c:v>91</c:v>
                </c:pt>
                <c:pt idx="16">
                  <c:v>97</c:v>
                </c:pt>
                <c:pt idx="17">
                  <c:v>103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127</c:v>
                </c:pt>
                <c:pt idx="22">
                  <c:v>133</c:v>
                </c:pt>
                <c:pt idx="23">
                  <c:v>139</c:v>
                </c:pt>
                <c:pt idx="24">
                  <c:v>145</c:v>
                </c:pt>
                <c:pt idx="25">
                  <c:v>151</c:v>
                </c:pt>
                <c:pt idx="26">
                  <c:v>157</c:v>
                </c:pt>
                <c:pt idx="27">
                  <c:v>163</c:v>
                </c:pt>
                <c:pt idx="28">
                  <c:v>169</c:v>
                </c:pt>
                <c:pt idx="29">
                  <c:v>175</c:v>
                </c:pt>
                <c:pt idx="30">
                  <c:v>180</c:v>
                </c:pt>
              </c:numCache>
            </c:numRef>
          </c:cat>
          <c:val>
            <c:numRef>
              <c:f>'E-Costos'!$C$168:$C$198</c:f>
              <c:numCache>
                <c:formatCode>_(\$* #,##0.00_);_(\$* \(#,##0.00\);_(\$* \-??_);_(@_)</c:formatCode>
                <c:ptCount val="31"/>
                <c:pt idx="0">
                  <c:v>42383.72245940924</c:v>
                </c:pt>
                <c:pt idx="1">
                  <c:v>296686.05721586465</c:v>
                </c:pt>
                <c:pt idx="2">
                  <c:v>550988.39197232015</c:v>
                </c:pt>
                <c:pt idx="3">
                  <c:v>805290.72672877554</c:v>
                </c:pt>
                <c:pt idx="4">
                  <c:v>1059593.0614852309</c:v>
                </c:pt>
                <c:pt idx="5">
                  <c:v>1313895.3962416865</c:v>
                </c:pt>
                <c:pt idx="6">
                  <c:v>1568197.7309981419</c:v>
                </c:pt>
                <c:pt idx="7">
                  <c:v>1822500.0657545973</c:v>
                </c:pt>
                <c:pt idx="8">
                  <c:v>2076802.4005110527</c:v>
                </c:pt>
                <c:pt idx="9">
                  <c:v>2331104.7352675083</c:v>
                </c:pt>
                <c:pt idx="10">
                  <c:v>2585407.0700239637</c:v>
                </c:pt>
                <c:pt idx="11">
                  <c:v>2839709.4047804191</c:v>
                </c:pt>
                <c:pt idx="12">
                  <c:v>3094011.7395368745</c:v>
                </c:pt>
                <c:pt idx="13">
                  <c:v>3348314.0742933298</c:v>
                </c:pt>
                <c:pt idx="14">
                  <c:v>3602616.4090497852</c:v>
                </c:pt>
                <c:pt idx="15">
                  <c:v>3856918.7438062411</c:v>
                </c:pt>
                <c:pt idx="16">
                  <c:v>4111221.0785626965</c:v>
                </c:pt>
                <c:pt idx="17">
                  <c:v>4365523.4133191518</c:v>
                </c:pt>
                <c:pt idx="18">
                  <c:v>4619825.7480756072</c:v>
                </c:pt>
                <c:pt idx="19">
                  <c:v>4874128.0828320626</c:v>
                </c:pt>
                <c:pt idx="20">
                  <c:v>5128430.417588518</c:v>
                </c:pt>
                <c:pt idx="21">
                  <c:v>5382732.7523449734</c:v>
                </c:pt>
                <c:pt idx="22">
                  <c:v>5637035.0871014288</c:v>
                </c:pt>
                <c:pt idx="23">
                  <c:v>5891337.4218578842</c:v>
                </c:pt>
                <c:pt idx="24">
                  <c:v>6145639.7566143395</c:v>
                </c:pt>
                <c:pt idx="25">
                  <c:v>6399942.0913707949</c:v>
                </c:pt>
                <c:pt idx="26">
                  <c:v>6654244.4261272503</c:v>
                </c:pt>
                <c:pt idx="27">
                  <c:v>6908546.7608837066</c:v>
                </c:pt>
                <c:pt idx="28">
                  <c:v>7162849.095640162</c:v>
                </c:pt>
                <c:pt idx="29">
                  <c:v>7417151.4303966174</c:v>
                </c:pt>
                <c:pt idx="30">
                  <c:v>7629070.0426936634</c:v>
                </c:pt>
              </c:numCache>
            </c:numRef>
          </c:val>
        </c:ser>
        <c:ser>
          <c:idx val="2"/>
          <c:order val="2"/>
          <c:tx>
            <c:strRef>
              <c:f>'E-Costos'!$D$167</c:f>
              <c:strCache>
                <c:ptCount val="1"/>
                <c:pt idx="0">
                  <c:v>Gastos Totales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'E-Costos'!$A$168:$A$198</c:f>
              <c:numCache>
                <c:formatCode>0</c:formatCode>
                <c:ptCount val="31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19</c:v>
                </c:pt>
                <c:pt idx="4">
                  <c:v>25</c:v>
                </c:pt>
                <c:pt idx="5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49</c:v>
                </c:pt>
                <c:pt idx="9">
                  <c:v>55</c:v>
                </c:pt>
                <c:pt idx="10">
                  <c:v>61</c:v>
                </c:pt>
                <c:pt idx="11">
                  <c:v>67</c:v>
                </c:pt>
                <c:pt idx="12">
                  <c:v>73</c:v>
                </c:pt>
                <c:pt idx="13">
                  <c:v>79</c:v>
                </c:pt>
                <c:pt idx="14">
                  <c:v>85</c:v>
                </c:pt>
                <c:pt idx="15">
                  <c:v>91</c:v>
                </c:pt>
                <c:pt idx="16">
                  <c:v>97</c:v>
                </c:pt>
                <c:pt idx="17">
                  <c:v>103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127</c:v>
                </c:pt>
                <c:pt idx="22">
                  <c:v>133</c:v>
                </c:pt>
                <c:pt idx="23">
                  <c:v>139</c:v>
                </c:pt>
                <c:pt idx="24">
                  <c:v>145</c:v>
                </c:pt>
                <c:pt idx="25">
                  <c:v>151</c:v>
                </c:pt>
                <c:pt idx="26">
                  <c:v>157</c:v>
                </c:pt>
                <c:pt idx="27">
                  <c:v>163</c:v>
                </c:pt>
                <c:pt idx="28">
                  <c:v>169</c:v>
                </c:pt>
                <c:pt idx="29">
                  <c:v>175</c:v>
                </c:pt>
                <c:pt idx="30">
                  <c:v>180</c:v>
                </c:pt>
              </c:numCache>
            </c:numRef>
          </c:cat>
          <c:val>
            <c:numRef>
              <c:f>'E-Costos'!$D$168:$D$198</c:f>
              <c:numCache>
                <c:formatCode>_(\$* #,##0.00_);_(\$* \(#,##0.00\);_(\$* \-??_);_(@_)</c:formatCode>
                <c:ptCount val="31"/>
                <c:pt idx="0">
                  <c:v>4960714.7589974254</c:v>
                </c:pt>
                <c:pt idx="1">
                  <c:v>5215017.0937538808</c:v>
                </c:pt>
                <c:pt idx="2">
                  <c:v>5469319.4285103362</c:v>
                </c:pt>
                <c:pt idx="3">
                  <c:v>5723621.7632667916</c:v>
                </c:pt>
                <c:pt idx="4">
                  <c:v>5977924.098023247</c:v>
                </c:pt>
                <c:pt idx="5">
                  <c:v>6232226.4327797024</c:v>
                </c:pt>
                <c:pt idx="6">
                  <c:v>6486528.7675361577</c:v>
                </c:pt>
                <c:pt idx="7">
                  <c:v>6740831.1022926131</c:v>
                </c:pt>
                <c:pt idx="8">
                  <c:v>6995133.4370490685</c:v>
                </c:pt>
                <c:pt idx="9">
                  <c:v>7249435.7718055248</c:v>
                </c:pt>
                <c:pt idx="10">
                  <c:v>7503738.1065619793</c:v>
                </c:pt>
                <c:pt idx="11">
                  <c:v>7758040.4413184356</c:v>
                </c:pt>
                <c:pt idx="12">
                  <c:v>8012342.77607489</c:v>
                </c:pt>
                <c:pt idx="13">
                  <c:v>8266645.1108313464</c:v>
                </c:pt>
                <c:pt idx="14">
                  <c:v>8520947.4455878008</c:v>
                </c:pt>
                <c:pt idx="15">
                  <c:v>8775249.7803442571</c:v>
                </c:pt>
                <c:pt idx="16">
                  <c:v>9029552.1151007116</c:v>
                </c:pt>
                <c:pt idx="17">
                  <c:v>9283854.4498571679</c:v>
                </c:pt>
                <c:pt idx="18">
                  <c:v>9538156.7846136242</c:v>
                </c:pt>
                <c:pt idx="19">
                  <c:v>9792459.1193700787</c:v>
                </c:pt>
                <c:pt idx="20">
                  <c:v>10046761.454126533</c:v>
                </c:pt>
                <c:pt idx="21">
                  <c:v>10301063.788882989</c:v>
                </c:pt>
                <c:pt idx="22">
                  <c:v>10555366.123639446</c:v>
                </c:pt>
                <c:pt idx="23">
                  <c:v>10809668.4583959</c:v>
                </c:pt>
                <c:pt idx="24">
                  <c:v>11063970.793152355</c:v>
                </c:pt>
                <c:pt idx="25">
                  <c:v>11318273.127908811</c:v>
                </c:pt>
                <c:pt idx="26">
                  <c:v>11572575.462665267</c:v>
                </c:pt>
                <c:pt idx="27">
                  <c:v>11826877.797421724</c:v>
                </c:pt>
                <c:pt idx="28">
                  <c:v>12081180.132178178</c:v>
                </c:pt>
                <c:pt idx="29">
                  <c:v>12335482.466934633</c:v>
                </c:pt>
                <c:pt idx="30">
                  <c:v>12547401.079231679</c:v>
                </c:pt>
              </c:numCache>
            </c:numRef>
          </c:val>
        </c:ser>
        <c:ser>
          <c:idx val="3"/>
          <c:order val="3"/>
          <c:tx>
            <c:strRef>
              <c:f>'E-Costos'!$E$167</c:f>
              <c:strCache>
                <c:ptCount val="1"/>
                <c:pt idx="0">
                  <c:v>Ingreso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'E-Costos'!$A$168:$A$198</c:f>
              <c:numCache>
                <c:formatCode>0</c:formatCode>
                <c:ptCount val="31"/>
                <c:pt idx="0">
                  <c:v>1</c:v>
                </c:pt>
                <c:pt idx="1">
                  <c:v>7</c:v>
                </c:pt>
                <c:pt idx="2">
                  <c:v>13</c:v>
                </c:pt>
                <c:pt idx="3">
                  <c:v>19</c:v>
                </c:pt>
                <c:pt idx="4">
                  <c:v>25</c:v>
                </c:pt>
                <c:pt idx="5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49</c:v>
                </c:pt>
                <c:pt idx="9">
                  <c:v>55</c:v>
                </c:pt>
                <c:pt idx="10">
                  <c:v>61</c:v>
                </c:pt>
                <c:pt idx="11">
                  <c:v>67</c:v>
                </c:pt>
                <c:pt idx="12">
                  <c:v>73</c:v>
                </c:pt>
                <c:pt idx="13">
                  <c:v>79</c:v>
                </c:pt>
                <c:pt idx="14">
                  <c:v>85</c:v>
                </c:pt>
                <c:pt idx="15">
                  <c:v>91</c:v>
                </c:pt>
                <c:pt idx="16">
                  <c:v>97</c:v>
                </c:pt>
                <c:pt idx="17">
                  <c:v>103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127</c:v>
                </c:pt>
                <c:pt idx="22">
                  <c:v>133</c:v>
                </c:pt>
                <c:pt idx="23">
                  <c:v>139</c:v>
                </c:pt>
                <c:pt idx="24">
                  <c:v>145</c:v>
                </c:pt>
                <c:pt idx="25">
                  <c:v>151</c:v>
                </c:pt>
                <c:pt idx="26">
                  <c:v>157</c:v>
                </c:pt>
                <c:pt idx="27">
                  <c:v>163</c:v>
                </c:pt>
                <c:pt idx="28">
                  <c:v>169</c:v>
                </c:pt>
                <c:pt idx="29">
                  <c:v>175</c:v>
                </c:pt>
                <c:pt idx="30">
                  <c:v>180</c:v>
                </c:pt>
              </c:numCache>
            </c:numRef>
          </c:cat>
          <c:val>
            <c:numRef>
              <c:f>'E-Costos'!$E$168:$E$198</c:f>
              <c:numCache>
                <c:formatCode>_(\$* #,##0.00_);_(\$* \(#,##0.00\);_(\$* \-??_);_(@_)</c:formatCode>
                <c:ptCount val="31"/>
                <c:pt idx="0">
                  <c:v>200000</c:v>
                </c:pt>
                <c:pt idx="1">
                  <c:v>1400000</c:v>
                </c:pt>
                <c:pt idx="2">
                  <c:v>2600000</c:v>
                </c:pt>
                <c:pt idx="3">
                  <c:v>3800000</c:v>
                </c:pt>
                <c:pt idx="4">
                  <c:v>5000000</c:v>
                </c:pt>
                <c:pt idx="5">
                  <c:v>6200000</c:v>
                </c:pt>
                <c:pt idx="6">
                  <c:v>7400000</c:v>
                </c:pt>
                <c:pt idx="7">
                  <c:v>8600000</c:v>
                </c:pt>
                <c:pt idx="8">
                  <c:v>9800000</c:v>
                </c:pt>
                <c:pt idx="9">
                  <c:v>11000000</c:v>
                </c:pt>
                <c:pt idx="10">
                  <c:v>12200000</c:v>
                </c:pt>
                <c:pt idx="11">
                  <c:v>13400000</c:v>
                </c:pt>
                <c:pt idx="12">
                  <c:v>14600000</c:v>
                </c:pt>
                <c:pt idx="13">
                  <c:v>15800000</c:v>
                </c:pt>
                <c:pt idx="14">
                  <c:v>17000000</c:v>
                </c:pt>
                <c:pt idx="15">
                  <c:v>18200000</c:v>
                </c:pt>
                <c:pt idx="16">
                  <c:v>19400000</c:v>
                </c:pt>
                <c:pt idx="17">
                  <c:v>20600000</c:v>
                </c:pt>
                <c:pt idx="18">
                  <c:v>21800000</c:v>
                </c:pt>
                <c:pt idx="19">
                  <c:v>23000000</c:v>
                </c:pt>
                <c:pt idx="20">
                  <c:v>24200000</c:v>
                </c:pt>
                <c:pt idx="21">
                  <c:v>25400000</c:v>
                </c:pt>
                <c:pt idx="22">
                  <c:v>26600000</c:v>
                </c:pt>
                <c:pt idx="23">
                  <c:v>27800000</c:v>
                </c:pt>
                <c:pt idx="24">
                  <c:v>29000000</c:v>
                </c:pt>
                <c:pt idx="25">
                  <c:v>30200000</c:v>
                </c:pt>
                <c:pt idx="26">
                  <c:v>31400000</c:v>
                </c:pt>
                <c:pt idx="27">
                  <c:v>32600000</c:v>
                </c:pt>
                <c:pt idx="28">
                  <c:v>33800000</c:v>
                </c:pt>
                <c:pt idx="29">
                  <c:v>35000000</c:v>
                </c:pt>
                <c:pt idx="30">
                  <c:v>36000000</c:v>
                </c:pt>
              </c:numCache>
            </c:numRef>
          </c:val>
        </c:ser>
        <c:marker val="1"/>
        <c:axId val="70671744"/>
        <c:axId val="70681728"/>
      </c:lineChart>
      <c:catAx>
        <c:axId val="70671744"/>
        <c:scaling>
          <c:orientation val="minMax"/>
        </c:scaling>
        <c:axPos val="b"/>
        <c:numFmt formatCode="0" sourceLinked="1"/>
        <c:tickLblPos val="nextTo"/>
        <c:crossAx val="70681728"/>
        <c:crosses val="autoZero"/>
        <c:auto val="1"/>
        <c:lblAlgn val="ctr"/>
        <c:lblOffset val="100"/>
      </c:catAx>
      <c:valAx>
        <c:axId val="70681728"/>
        <c:scaling>
          <c:orientation val="minMax"/>
        </c:scaling>
        <c:axPos val="l"/>
        <c:majorGridlines/>
        <c:numFmt formatCode="_(\$* #,##0.00_);_(\$* \(#,##0.00\);_(\$* \-??_);_(@_)" sourceLinked="1"/>
        <c:tickLblPos val="nextTo"/>
        <c:crossAx val="706717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141</xdr:row>
      <xdr:rowOff>57150</xdr:rowOff>
    </xdr:from>
    <xdr:to>
      <xdr:col>13</xdr:col>
      <xdr:colOff>1190625</xdr:colOff>
      <xdr:row>164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169</xdr:row>
      <xdr:rowOff>104775</xdr:rowOff>
    </xdr:from>
    <xdr:to>
      <xdr:col>12</xdr:col>
      <xdr:colOff>828675</xdr:colOff>
      <xdr:row>198</xdr:row>
      <xdr:rowOff>28576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1"/>
  <sheetViews>
    <sheetView workbookViewId="0">
      <selection activeCell="B39" sqref="B39"/>
    </sheetView>
  </sheetViews>
  <sheetFormatPr baseColWidth="10" defaultColWidth="11" defaultRowHeight="12.75"/>
  <cols>
    <col min="1" max="1" width="42.28515625" customWidth="1"/>
    <col min="2" max="3" width="11" customWidth="1"/>
    <col min="4" max="4" width="17.42578125" customWidth="1"/>
  </cols>
  <sheetData>
    <row r="1" spans="1:7">
      <c r="A1" s="1" t="s">
        <v>0</v>
      </c>
      <c r="E1" s="2">
        <v>5</v>
      </c>
    </row>
    <row r="3" spans="1:7">
      <c r="A3" s="3" t="s">
        <v>1</v>
      </c>
      <c r="B3" s="4">
        <v>0.21</v>
      </c>
    </row>
    <row r="4" spans="1:7">
      <c r="A4" s="3" t="s">
        <v>2</v>
      </c>
      <c r="B4" s="4">
        <v>0.35</v>
      </c>
    </row>
    <row r="5" spans="1:7">
      <c r="A5" s="3" t="s">
        <v>3</v>
      </c>
      <c r="B5" s="4">
        <v>0.03</v>
      </c>
      <c r="C5" t="s">
        <v>4</v>
      </c>
      <c r="G5" s="5"/>
    </row>
    <row r="7" spans="1:7">
      <c r="A7" s="3" t="s">
        <v>5</v>
      </c>
      <c r="B7" t="s">
        <v>6</v>
      </c>
    </row>
    <row r="8" spans="1:7">
      <c r="A8" s="6" t="s">
        <v>7</v>
      </c>
      <c r="B8" s="7">
        <v>30</v>
      </c>
      <c r="C8" t="s">
        <v>8</v>
      </c>
    </row>
    <row r="9" spans="1:7">
      <c r="A9" s="6" t="s">
        <v>9</v>
      </c>
      <c r="B9" s="7">
        <v>10</v>
      </c>
      <c r="C9" t="s">
        <v>8</v>
      </c>
    </row>
    <row r="10" spans="1:7">
      <c r="A10" s="6" t="s">
        <v>10</v>
      </c>
      <c r="B10" s="7">
        <v>10</v>
      </c>
      <c r="C10" t="s">
        <v>8</v>
      </c>
    </row>
    <row r="11" spans="1:7">
      <c r="A11" s="6" t="s">
        <v>11</v>
      </c>
      <c r="B11" s="7">
        <v>5</v>
      </c>
      <c r="C11" t="s">
        <v>8</v>
      </c>
    </row>
    <row r="12" spans="1:7">
      <c r="A12" s="6" t="s">
        <v>12</v>
      </c>
      <c r="B12" s="7">
        <v>5</v>
      </c>
      <c r="C12" t="s">
        <v>8</v>
      </c>
    </row>
    <row r="13" spans="1:7">
      <c r="A13" s="6" t="s">
        <v>13</v>
      </c>
      <c r="B13" s="7">
        <v>3</v>
      </c>
      <c r="C13" t="s">
        <v>8</v>
      </c>
    </row>
    <row r="14" spans="1:7">
      <c r="A14" s="6" t="s">
        <v>14</v>
      </c>
      <c r="B14" s="7">
        <v>5</v>
      </c>
      <c r="C14" t="s">
        <v>8</v>
      </c>
    </row>
    <row r="15" spans="1:7">
      <c r="A15" s="6" t="s">
        <v>15</v>
      </c>
      <c r="B15" s="8">
        <v>0.09</v>
      </c>
    </row>
    <row r="17" spans="1:7">
      <c r="A17" s="3" t="s">
        <v>16</v>
      </c>
      <c r="B17" s="9" t="s">
        <v>379</v>
      </c>
      <c r="C17" s="10"/>
      <c r="D17" s="10"/>
      <c r="E17" s="10"/>
      <c r="F17" s="10"/>
      <c r="G17" s="11"/>
    </row>
    <row r="19" spans="1:7">
      <c r="A19" s="3" t="s">
        <v>17</v>
      </c>
      <c r="B19" s="12">
        <v>180</v>
      </c>
      <c r="C19" t="s">
        <v>18</v>
      </c>
    </row>
    <row r="20" spans="1:7">
      <c r="A20" s="3" t="s">
        <v>19</v>
      </c>
      <c r="B20" s="12">
        <v>200000</v>
      </c>
      <c r="C20" t="s">
        <v>20</v>
      </c>
    </row>
    <row r="22" spans="1:7">
      <c r="A22" s="3" t="s">
        <v>21</v>
      </c>
    </row>
    <row r="23" spans="1:7">
      <c r="A23" s="3" t="s">
        <v>22</v>
      </c>
      <c r="B23" s="12">
        <v>5</v>
      </c>
      <c r="C23" t="s">
        <v>23</v>
      </c>
    </row>
    <row r="24" spans="1:7">
      <c r="A24" s="3" t="s">
        <v>24</v>
      </c>
      <c r="B24" s="12">
        <v>2</v>
      </c>
      <c r="C24" t="s">
        <v>23</v>
      </c>
    </row>
    <row r="25" spans="1:7">
      <c r="A25" s="3" t="s">
        <v>25</v>
      </c>
      <c r="B25" s="12">
        <v>1</v>
      </c>
      <c r="C25" t="s">
        <v>23</v>
      </c>
    </row>
    <row r="27" spans="1:7">
      <c r="A27" s="3" t="s">
        <v>26</v>
      </c>
      <c r="B27" s="12">
        <v>211.65</v>
      </c>
      <c r="C27" t="s">
        <v>27</v>
      </c>
    </row>
    <row r="28" spans="1:7">
      <c r="A28" s="3" t="s">
        <v>28</v>
      </c>
      <c r="B28" s="12">
        <v>12</v>
      </c>
      <c r="C28" t="s">
        <v>29</v>
      </c>
    </row>
    <row r="29" spans="1:7">
      <c r="A29" s="3" t="s">
        <v>30</v>
      </c>
      <c r="B29" s="12">
        <v>3</v>
      </c>
      <c r="C29" t="s">
        <v>29</v>
      </c>
    </row>
    <row r="32" spans="1:7">
      <c r="A32" s="3" t="s">
        <v>31</v>
      </c>
      <c r="B32" s="12">
        <v>17.5</v>
      </c>
      <c r="C32" t="s">
        <v>32</v>
      </c>
      <c r="D32" s="12">
        <v>1</v>
      </c>
      <c r="E32" t="s">
        <v>33</v>
      </c>
    </row>
    <row r="33" spans="1:7">
      <c r="A33" s="13"/>
    </row>
    <row r="34" spans="1:7">
      <c r="A34" s="13"/>
    </row>
    <row r="35" spans="1:7">
      <c r="A35" s="3" t="s">
        <v>34</v>
      </c>
      <c r="B35" s="14"/>
      <c r="C35" t="s">
        <v>35</v>
      </c>
      <c r="G35" s="5" t="s">
        <v>36</v>
      </c>
    </row>
    <row r="36" spans="1:7">
      <c r="A36" s="3" t="s">
        <v>37</v>
      </c>
      <c r="B36" s="338"/>
      <c r="C36" s="338"/>
      <c r="D36" s="338"/>
    </row>
    <row r="37" spans="1:7">
      <c r="A37" s="3" t="s">
        <v>38</v>
      </c>
      <c r="B37" s="15"/>
    </row>
    <row r="38" spans="1:7">
      <c r="A38" s="3"/>
    </row>
    <row r="39" spans="1:7">
      <c r="A39" s="3" t="s">
        <v>39</v>
      </c>
      <c r="B39" s="12"/>
    </row>
    <row r="40" spans="1:7">
      <c r="A40" s="3" t="s">
        <v>40</v>
      </c>
      <c r="B40" s="12"/>
    </row>
    <row r="41" spans="1:7">
      <c r="A41" s="3" t="s">
        <v>41</v>
      </c>
      <c r="B41" s="12"/>
      <c r="C41" t="s">
        <v>35</v>
      </c>
    </row>
    <row r="1001" spans="20:20">
      <c r="T1001" s="5" t="s">
        <v>42</v>
      </c>
    </row>
  </sheetData>
  <sheetProtection selectLockedCells="1" selectUnlockedCells="1"/>
  <mergeCells count="1">
    <mergeCell ref="B36:D36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45"/>
  <sheetViews>
    <sheetView workbookViewId="0">
      <selection activeCell="D1" sqref="D1"/>
    </sheetView>
  </sheetViews>
  <sheetFormatPr baseColWidth="10" defaultColWidth="11.42578125" defaultRowHeight="12.75"/>
  <cols>
    <col min="1" max="1" width="54.42578125" style="175" customWidth="1"/>
    <col min="2" max="4" width="14" style="175" customWidth="1"/>
    <col min="5" max="250" width="11.42578125" style="175" customWidth="1"/>
  </cols>
  <sheetData>
    <row r="1" spans="1:5">
      <c r="A1" s="1" t="s">
        <v>0</v>
      </c>
      <c r="B1"/>
      <c r="C1"/>
      <c r="D1">
        <f>InfoInicial!E1</f>
        <v>5</v>
      </c>
      <c r="E1" s="2"/>
    </row>
    <row r="2" spans="1:5" ht="15.75">
      <c r="A2" s="176" t="s">
        <v>277</v>
      </c>
      <c r="B2" s="177"/>
      <c r="C2" s="177"/>
      <c r="D2" s="178"/>
    </row>
    <row r="3" spans="1:5">
      <c r="A3" s="179" t="s">
        <v>84</v>
      </c>
      <c r="B3" s="186" t="s">
        <v>47</v>
      </c>
      <c r="C3" s="186" t="s">
        <v>48</v>
      </c>
      <c r="D3" s="182" t="s">
        <v>188</v>
      </c>
    </row>
    <row r="4" spans="1:5">
      <c r="A4" s="183" t="s">
        <v>278</v>
      </c>
      <c r="B4" s="85"/>
      <c r="C4" s="85"/>
      <c r="D4" s="86"/>
    </row>
    <row r="5" spans="1:5">
      <c r="B5" s="65"/>
      <c r="C5" s="65"/>
      <c r="D5" s="66"/>
    </row>
    <row r="6" spans="1:5">
      <c r="A6" s="175" t="s">
        <v>279</v>
      </c>
      <c r="B6" s="65"/>
      <c r="C6" s="65"/>
      <c r="D6" s="66"/>
    </row>
    <row r="7" spans="1:5">
      <c r="A7" s="175" t="s">
        <v>280</v>
      </c>
      <c r="B7" s="65"/>
      <c r="C7" s="65"/>
      <c r="D7" s="66"/>
    </row>
    <row r="8" spans="1:5">
      <c r="A8" s="183" t="s">
        <v>281</v>
      </c>
      <c r="B8" s="65"/>
      <c r="C8" s="65"/>
      <c r="D8" s="66"/>
    </row>
    <row r="9" spans="1:5">
      <c r="A9" s="184" t="s">
        <v>282</v>
      </c>
      <c r="B9" s="65"/>
      <c r="C9" s="65"/>
      <c r="D9" s="66"/>
    </row>
    <row r="10" spans="1:5">
      <c r="A10" s="183" t="s">
        <v>283</v>
      </c>
      <c r="B10" s="65"/>
      <c r="C10" s="65"/>
      <c r="D10" s="66"/>
    </row>
    <row r="11" spans="1:5">
      <c r="A11" s="183" t="s">
        <v>284</v>
      </c>
      <c r="B11" s="85"/>
      <c r="C11" s="85"/>
      <c r="D11" s="86"/>
    </row>
    <row r="12" spans="1:5">
      <c r="A12" s="184" t="s">
        <v>285</v>
      </c>
      <c r="B12" s="65"/>
      <c r="C12" s="65"/>
      <c r="D12" s="66"/>
    </row>
    <row r="13" spans="1:5">
      <c r="A13" s="175" t="s">
        <v>286</v>
      </c>
      <c r="B13" s="65"/>
      <c r="C13" s="65"/>
      <c r="D13" s="66"/>
    </row>
    <row r="14" spans="1:5">
      <c r="A14" s="175" t="s">
        <v>287</v>
      </c>
      <c r="B14" s="65"/>
      <c r="C14" s="65"/>
      <c r="D14" s="66"/>
    </row>
    <row r="15" spans="1:5">
      <c r="A15" s="183" t="s">
        <v>288</v>
      </c>
      <c r="B15" s="65"/>
      <c r="C15" s="65"/>
      <c r="D15" s="66"/>
    </row>
    <row r="16" spans="1:5">
      <c r="A16" s="175" t="s">
        <v>110</v>
      </c>
      <c r="B16" s="85"/>
      <c r="C16" s="85"/>
      <c r="D16" s="86"/>
    </row>
    <row r="17" spans="1:5">
      <c r="A17" s="175" t="s">
        <v>289</v>
      </c>
      <c r="B17" s="65"/>
      <c r="C17" s="65"/>
      <c r="D17" s="66"/>
    </row>
    <row r="18" spans="1:5">
      <c r="A18" s="175" t="s">
        <v>290</v>
      </c>
      <c r="B18" s="65"/>
      <c r="C18" s="65"/>
      <c r="D18" s="66"/>
    </row>
    <row r="19" spans="1:5">
      <c r="A19" s="175" t="s">
        <v>291</v>
      </c>
      <c r="B19" s="65"/>
      <c r="C19" s="65"/>
      <c r="D19" s="66"/>
    </row>
    <row r="20" spans="1:5">
      <c r="A20" s="183" t="s">
        <v>292</v>
      </c>
      <c r="B20" s="65"/>
      <c r="C20" s="65"/>
      <c r="D20" s="66"/>
    </row>
    <row r="21" spans="1:5">
      <c r="A21" s="175" t="s">
        <v>293</v>
      </c>
      <c r="B21" s="65"/>
      <c r="C21" s="65"/>
      <c r="D21" s="66"/>
    </row>
    <row r="22" spans="1:5">
      <c r="A22" s="183" t="s">
        <v>294</v>
      </c>
      <c r="B22" s="65"/>
      <c r="C22" s="65"/>
      <c r="D22" s="66"/>
    </row>
    <row r="23" spans="1:5">
      <c r="A23" s="183" t="s">
        <v>295</v>
      </c>
      <c r="B23" s="65"/>
      <c r="C23" s="65"/>
      <c r="D23" s="66"/>
    </row>
    <row r="24" spans="1:5">
      <c r="A24" s="183" t="s">
        <v>296</v>
      </c>
      <c r="B24" s="85"/>
      <c r="C24" s="85"/>
      <c r="D24" s="86"/>
    </row>
    <row r="25" spans="1:5">
      <c r="A25" s="175" t="s">
        <v>297</v>
      </c>
      <c r="B25" s="65"/>
      <c r="C25" s="65"/>
      <c r="D25" s="66"/>
    </row>
    <row r="26" spans="1:5">
      <c r="A26" s="175" t="s">
        <v>298</v>
      </c>
      <c r="B26" s="65"/>
      <c r="C26" s="65"/>
      <c r="D26" s="66"/>
    </row>
    <row r="27" spans="1:5">
      <c r="A27" s="183" t="s">
        <v>299</v>
      </c>
      <c r="B27" s="65"/>
      <c r="C27" s="65"/>
      <c r="D27" s="66"/>
      <c r="E27" s="187"/>
    </row>
    <row r="28" spans="1:5">
      <c r="A28" s="183" t="s">
        <v>300</v>
      </c>
      <c r="B28" s="85"/>
      <c r="C28" s="85"/>
      <c r="D28" s="114"/>
      <c r="E28" s="188" t="s">
        <v>301</v>
      </c>
    </row>
    <row r="29" spans="1:5">
      <c r="A29" s="183" t="s">
        <v>302</v>
      </c>
      <c r="B29" s="65"/>
      <c r="C29" s="65"/>
      <c r="D29" s="113"/>
      <c r="E29" s="88"/>
    </row>
    <row r="30" spans="1:5">
      <c r="A30" s="183" t="s">
        <v>303</v>
      </c>
      <c r="B30" s="65"/>
      <c r="C30" s="65"/>
      <c r="D30" s="113"/>
      <c r="E30" s="88"/>
    </row>
    <row r="31" spans="1:5">
      <c r="A31" s="183" t="s">
        <v>304</v>
      </c>
      <c r="B31" s="65"/>
      <c r="C31" s="65"/>
      <c r="D31" s="113"/>
      <c r="E31" s="88"/>
    </row>
    <row r="32" spans="1:5">
      <c r="A32" s="185" t="s">
        <v>188</v>
      </c>
      <c r="B32" s="71"/>
      <c r="C32" s="71"/>
      <c r="D32" s="115"/>
      <c r="E32" s="83"/>
    </row>
    <row r="34" spans="1:6" ht="15.75">
      <c r="A34" s="176" t="s">
        <v>305</v>
      </c>
      <c r="B34" s="177"/>
      <c r="C34" s="177"/>
      <c r="D34" s="177"/>
      <c r="E34" s="177"/>
      <c r="F34" s="177"/>
    </row>
    <row r="35" spans="1:6">
      <c r="A35" s="179" t="s">
        <v>84</v>
      </c>
      <c r="B35" s="180" t="s">
        <v>48</v>
      </c>
      <c r="C35" s="180" t="s">
        <v>85</v>
      </c>
      <c r="D35" s="180" t="s">
        <v>86</v>
      </c>
      <c r="E35" s="180" t="s">
        <v>87</v>
      </c>
      <c r="F35" s="180" t="s">
        <v>88</v>
      </c>
    </row>
    <row r="36" spans="1:6">
      <c r="A36" s="189" t="s">
        <v>150</v>
      </c>
      <c r="B36" s="28"/>
      <c r="C36" s="28"/>
      <c r="D36" s="28"/>
      <c r="E36" s="28"/>
      <c r="F36" s="28"/>
    </row>
    <row r="37" spans="1:6">
      <c r="A37" s="190" t="s">
        <v>149</v>
      </c>
      <c r="B37" s="28"/>
      <c r="C37" s="28"/>
      <c r="D37" s="28"/>
      <c r="E37" s="28"/>
      <c r="F37" s="28"/>
    </row>
    <row r="38" spans="1:6">
      <c r="A38" s="189" t="s">
        <v>152</v>
      </c>
      <c r="B38" s="28"/>
      <c r="C38" s="28"/>
      <c r="D38" s="28"/>
      <c r="E38" s="28"/>
      <c r="F38" s="28"/>
    </row>
    <row r="39" spans="1:6">
      <c r="A39" s="190" t="s">
        <v>151</v>
      </c>
      <c r="B39" s="28"/>
      <c r="C39" s="28"/>
      <c r="D39" s="28"/>
      <c r="E39" s="28"/>
      <c r="F39" s="28"/>
    </row>
    <row r="40" spans="1:6">
      <c r="A40" s="189" t="s">
        <v>154</v>
      </c>
      <c r="B40" s="28"/>
      <c r="C40" s="28"/>
      <c r="D40" s="28"/>
      <c r="E40" s="28"/>
      <c r="F40" s="28"/>
    </row>
    <row r="41" spans="1:6">
      <c r="A41" s="190" t="s">
        <v>153</v>
      </c>
      <c r="B41" s="28"/>
      <c r="C41" s="28"/>
      <c r="D41" s="28"/>
      <c r="E41" s="28"/>
      <c r="F41" s="28"/>
    </row>
    <row r="42" spans="1:6">
      <c r="A42" s="190" t="s">
        <v>306</v>
      </c>
      <c r="B42" s="28"/>
      <c r="C42" s="28"/>
      <c r="D42" s="28"/>
      <c r="E42" s="28"/>
      <c r="F42" s="28"/>
    </row>
    <row r="43" spans="1:6">
      <c r="A43" s="189" t="s">
        <v>155</v>
      </c>
      <c r="B43" s="28"/>
      <c r="C43" s="28"/>
      <c r="D43" s="28"/>
      <c r="E43" s="28"/>
      <c r="F43" s="28"/>
    </row>
    <row r="44" spans="1:6">
      <c r="A44" s="191" t="s">
        <v>156</v>
      </c>
      <c r="B44" s="32"/>
      <c r="C44" s="32"/>
      <c r="D44" s="32"/>
      <c r="E44" s="32"/>
      <c r="F44" s="32"/>
    </row>
    <row r="45" spans="1:6" ht="15.75">
      <c r="A45" s="192" t="s">
        <v>307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workbookViewId="0">
      <selection activeCell="E1" sqref="E1"/>
    </sheetView>
  </sheetViews>
  <sheetFormatPr baseColWidth="10" defaultColWidth="11.42578125" defaultRowHeight="12.75"/>
  <cols>
    <col min="1" max="1" width="43" style="175" customWidth="1"/>
    <col min="2" max="7" width="14" style="175" customWidth="1"/>
    <col min="8" max="8" width="17.42578125" style="175" customWidth="1"/>
    <col min="9" max="16384" width="11.42578125" style="175"/>
  </cols>
  <sheetData>
    <row r="1" spans="1:7">
      <c r="A1" s="1" t="s">
        <v>0</v>
      </c>
      <c r="B1"/>
      <c r="C1"/>
      <c r="D1"/>
      <c r="E1" s="2">
        <f>InfoInicial!E1</f>
        <v>5</v>
      </c>
    </row>
    <row r="2" spans="1:7" ht="15.75">
      <c r="A2" s="176" t="s">
        <v>207</v>
      </c>
      <c r="B2" s="177"/>
      <c r="C2" s="177"/>
      <c r="D2" s="177"/>
      <c r="E2" s="177"/>
      <c r="F2" s="177"/>
      <c r="G2" s="178"/>
    </row>
    <row r="3" spans="1:7" ht="15.75">
      <c r="A3" s="193"/>
      <c r="B3" s="194" t="s">
        <v>208</v>
      </c>
      <c r="C3" s="194"/>
      <c r="D3" s="194"/>
      <c r="E3" s="194"/>
      <c r="F3" s="194"/>
      <c r="G3" s="195"/>
    </row>
    <row r="4" spans="1:7">
      <c r="A4" s="196" t="s">
        <v>84</v>
      </c>
      <c r="B4" s="197" t="s">
        <v>47</v>
      </c>
      <c r="C4" s="180" t="s">
        <v>48</v>
      </c>
      <c r="D4" s="180" t="s">
        <v>85</v>
      </c>
      <c r="E4" s="180" t="s">
        <v>86</v>
      </c>
      <c r="F4" s="180" t="s">
        <v>87</v>
      </c>
      <c r="G4" s="182" t="s">
        <v>88</v>
      </c>
    </row>
    <row r="5" spans="1:7">
      <c r="A5" s="198" t="s">
        <v>308</v>
      </c>
      <c r="B5" s="122"/>
      <c r="C5" s="105"/>
      <c r="D5" s="105"/>
      <c r="E5" s="105"/>
      <c r="F5" s="105"/>
      <c r="G5" s="106"/>
    </row>
    <row r="6" spans="1:7">
      <c r="A6" s="199" t="s">
        <v>309</v>
      </c>
      <c r="B6" s="124"/>
      <c r="C6" s="65"/>
      <c r="D6" s="65"/>
      <c r="E6" s="65"/>
      <c r="F6" s="65"/>
      <c r="G6" s="66"/>
    </row>
    <row r="7" spans="1:7">
      <c r="A7" s="199" t="s">
        <v>310</v>
      </c>
      <c r="B7" s="124"/>
      <c r="C7" s="65"/>
      <c r="D7" s="65"/>
      <c r="E7" s="65"/>
      <c r="F7" s="65"/>
      <c r="G7" s="66"/>
    </row>
    <row r="8" spans="1:7">
      <c r="A8" s="200" t="s">
        <v>311</v>
      </c>
      <c r="B8" s="124"/>
      <c r="C8" s="65"/>
      <c r="D8" s="65"/>
      <c r="E8" s="65"/>
      <c r="F8" s="65"/>
      <c r="G8" s="66"/>
    </row>
    <row r="9" spans="1:7">
      <c r="A9" s="200" t="s">
        <v>312</v>
      </c>
      <c r="B9" s="124"/>
      <c r="C9" s="65"/>
      <c r="D9" s="65"/>
      <c r="E9" s="65"/>
      <c r="F9" s="65"/>
      <c r="G9" s="66"/>
    </row>
    <row r="10" spans="1:7">
      <c r="A10" s="201" t="s">
        <v>313</v>
      </c>
      <c r="B10" s="124"/>
      <c r="C10" s="65"/>
      <c r="D10" s="65"/>
      <c r="E10" s="65"/>
      <c r="F10" s="65"/>
      <c r="G10" s="66"/>
    </row>
    <row r="11" spans="1:7">
      <c r="A11" s="201"/>
      <c r="B11" s="126"/>
      <c r="C11" s="85"/>
      <c r="D11" s="85"/>
      <c r="E11" s="85"/>
      <c r="F11" s="85"/>
      <c r="G11" s="86"/>
    </row>
    <row r="12" spans="1:7">
      <c r="A12" s="199" t="s">
        <v>219</v>
      </c>
      <c r="B12" s="124"/>
      <c r="C12" s="65"/>
      <c r="D12" s="65"/>
      <c r="E12" s="65"/>
      <c r="F12" s="65"/>
      <c r="G12" s="66"/>
    </row>
    <row r="13" spans="1:7">
      <c r="A13" s="199" t="s">
        <v>220</v>
      </c>
      <c r="B13" s="124"/>
      <c r="C13" s="65"/>
      <c r="D13" s="65"/>
      <c r="E13" s="65"/>
      <c r="F13" s="65"/>
      <c r="G13" s="66"/>
    </row>
    <row r="14" spans="1:7">
      <c r="A14" s="201" t="s">
        <v>314</v>
      </c>
      <c r="B14" s="124"/>
      <c r="C14" s="65"/>
      <c r="D14" s="65"/>
      <c r="E14" s="65"/>
      <c r="F14" s="65"/>
      <c r="G14" s="66"/>
    </row>
    <row r="15" spans="1:7">
      <c r="A15" s="199"/>
      <c r="B15" s="126"/>
      <c r="C15" s="85"/>
      <c r="D15" s="85"/>
      <c r="E15" s="85"/>
      <c r="F15" s="85"/>
      <c r="G15" s="86"/>
    </row>
    <row r="16" spans="1:7">
      <c r="A16" s="202" t="s">
        <v>315</v>
      </c>
      <c r="B16" s="124"/>
      <c r="C16" s="65"/>
      <c r="D16" s="65"/>
      <c r="E16" s="65"/>
      <c r="F16" s="65"/>
      <c r="G16" s="66"/>
    </row>
    <row r="17" spans="1:7">
      <c r="A17" s="202" t="s">
        <v>316</v>
      </c>
      <c r="B17" s="124"/>
      <c r="C17" s="65"/>
      <c r="D17" s="65"/>
      <c r="E17" s="65"/>
      <c r="F17" s="65"/>
      <c r="G17" s="66"/>
    </row>
    <row r="18" spans="1:7">
      <c r="A18" s="201" t="s">
        <v>317</v>
      </c>
      <c r="B18" s="124"/>
      <c r="C18" s="65"/>
      <c r="D18" s="65"/>
      <c r="E18" s="65"/>
      <c r="F18" s="65"/>
      <c r="G18" s="66"/>
    </row>
    <row r="19" spans="1:7">
      <c r="A19" s="201" t="s">
        <v>318</v>
      </c>
      <c r="B19" s="124"/>
      <c r="C19" s="65"/>
      <c r="D19" s="65"/>
      <c r="E19" s="65"/>
      <c r="F19" s="65"/>
      <c r="G19" s="66"/>
    </row>
    <row r="20" spans="1:7">
      <c r="A20" s="199"/>
      <c r="B20" s="126"/>
      <c r="C20" s="85"/>
      <c r="D20" s="85"/>
      <c r="E20" s="85"/>
      <c r="F20" s="85"/>
      <c r="G20" s="86"/>
    </row>
    <row r="21" spans="1:7">
      <c r="A21" s="203" t="s">
        <v>226</v>
      </c>
      <c r="B21" s="129"/>
      <c r="C21" s="71"/>
      <c r="D21" s="71"/>
      <c r="E21" s="71"/>
      <c r="F21" s="71"/>
      <c r="G21" s="72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workbookViewId="0">
      <selection activeCell="C30" sqref="C30"/>
    </sheetView>
  </sheetViews>
  <sheetFormatPr baseColWidth="10" defaultColWidth="11.42578125" defaultRowHeight="12.75"/>
  <cols>
    <col min="1" max="1" width="41" style="204" customWidth="1"/>
    <col min="2" max="8" width="14.85546875" style="204" customWidth="1"/>
    <col min="9" max="9" width="17.42578125" style="204" customWidth="1"/>
    <col min="10" max="16384" width="11.42578125" style="204"/>
  </cols>
  <sheetData>
    <row r="1" spans="1:8">
      <c r="A1" s="1" t="s">
        <v>0</v>
      </c>
      <c r="B1"/>
      <c r="C1"/>
      <c r="D1"/>
      <c r="E1" s="2">
        <f>InfoInicial!E1</f>
        <v>5</v>
      </c>
    </row>
    <row r="3" spans="1:8" ht="15.75">
      <c r="A3" s="205" t="s">
        <v>319</v>
      </c>
      <c r="B3" s="206"/>
      <c r="C3" s="206"/>
      <c r="D3" s="206"/>
      <c r="E3" s="206"/>
      <c r="F3" s="206"/>
      <c r="G3" s="207"/>
      <c r="H3" s="208"/>
    </row>
    <row r="4" spans="1:8">
      <c r="A4" s="209"/>
      <c r="B4" s="210" t="s">
        <v>47</v>
      </c>
      <c r="C4" s="210" t="s">
        <v>48</v>
      </c>
      <c r="D4" s="210" t="s">
        <v>85</v>
      </c>
      <c r="E4" s="210" t="s">
        <v>86</v>
      </c>
      <c r="F4" s="210" t="s">
        <v>87</v>
      </c>
      <c r="G4" s="211" t="s">
        <v>88</v>
      </c>
      <c r="H4" s="212" t="s">
        <v>188</v>
      </c>
    </row>
    <row r="5" spans="1:8">
      <c r="A5" s="183" t="s">
        <v>320</v>
      </c>
      <c r="B5" s="92"/>
      <c r="C5" s="92"/>
      <c r="D5" s="92"/>
      <c r="E5" s="92"/>
      <c r="F5" s="92"/>
      <c r="G5" s="213"/>
      <c r="H5" s="93"/>
    </row>
    <row r="6" spans="1:8">
      <c r="A6" s="175" t="s">
        <v>321</v>
      </c>
      <c r="B6" s="65"/>
      <c r="C6" s="65"/>
      <c r="D6" s="65"/>
      <c r="E6" s="65"/>
      <c r="F6" s="65"/>
      <c r="G6" s="113"/>
      <c r="H6" s="66"/>
    </row>
    <row r="7" spans="1:8">
      <c r="A7" s="175" t="s">
        <v>322</v>
      </c>
      <c r="B7" s="214"/>
      <c r="C7" s="214"/>
      <c r="D7" s="214"/>
      <c r="E7" s="214"/>
      <c r="F7" s="214"/>
      <c r="G7" s="215"/>
      <c r="H7" s="216"/>
    </row>
    <row r="8" spans="1:8">
      <c r="A8" s="175" t="s">
        <v>323</v>
      </c>
      <c r="B8" s="65"/>
      <c r="C8" s="65"/>
      <c r="D8" s="65"/>
      <c r="E8" s="65"/>
      <c r="F8" s="65"/>
      <c r="G8" s="113"/>
      <c r="H8" s="66"/>
    </row>
    <row r="9" spans="1:8">
      <c r="A9" s="175" t="s">
        <v>324</v>
      </c>
      <c r="B9" s="214"/>
      <c r="C9" s="214"/>
      <c r="D9" s="214"/>
      <c r="E9" s="214"/>
      <c r="F9" s="214"/>
      <c r="G9" s="215"/>
      <c r="H9" s="216"/>
    </row>
    <row r="10" spans="1:8">
      <c r="A10" s="175" t="s">
        <v>325</v>
      </c>
      <c r="B10" s="65"/>
      <c r="C10" s="65"/>
      <c r="D10" s="65"/>
      <c r="E10" s="65"/>
      <c r="F10" s="65"/>
      <c r="G10" s="113"/>
      <c r="H10" s="66"/>
    </row>
    <row r="11" spans="1:8">
      <c r="A11" s="175" t="s">
        <v>326</v>
      </c>
      <c r="B11" s="92"/>
      <c r="C11" s="92"/>
      <c r="D11" s="92"/>
      <c r="E11" s="92"/>
      <c r="F11" s="92"/>
      <c r="G11" s="213"/>
      <c r="H11" s="93"/>
    </row>
    <row r="12" spans="1:8">
      <c r="A12" s="175"/>
      <c r="B12" s="65"/>
      <c r="C12" s="65"/>
      <c r="D12" s="65"/>
      <c r="E12" s="65"/>
      <c r="F12" s="65"/>
      <c r="G12" s="113"/>
      <c r="H12" s="66"/>
    </row>
    <row r="13" spans="1:8">
      <c r="A13" s="183" t="s">
        <v>327</v>
      </c>
      <c r="B13" s="65"/>
      <c r="C13" s="65"/>
      <c r="D13" s="65"/>
      <c r="E13" s="65"/>
      <c r="F13" s="65"/>
      <c r="G13" s="113"/>
      <c r="H13" s="66"/>
    </row>
    <row r="14" spans="1:8">
      <c r="A14" s="175" t="s">
        <v>328</v>
      </c>
      <c r="B14" s="214"/>
      <c r="C14" s="214"/>
      <c r="D14" s="214"/>
      <c r="E14" s="214"/>
      <c r="F14" s="214"/>
      <c r="G14" s="215"/>
      <c r="H14" s="216"/>
    </row>
    <row r="15" spans="1:8">
      <c r="A15" s="175" t="s">
        <v>251</v>
      </c>
      <c r="B15" s="65"/>
      <c r="C15" s="65"/>
      <c r="D15" s="65"/>
      <c r="E15" s="65"/>
      <c r="F15" s="65"/>
      <c r="G15" s="113"/>
      <c r="H15" s="66"/>
    </row>
    <row r="16" spans="1:8">
      <c r="A16" s="175" t="s">
        <v>329</v>
      </c>
      <c r="B16" s="65"/>
      <c r="C16" s="65"/>
      <c r="D16" s="65"/>
      <c r="E16" s="65"/>
      <c r="F16" s="65"/>
      <c r="G16" s="113"/>
      <c r="H16" s="66"/>
    </row>
    <row r="17" spans="1:14">
      <c r="A17" s="175" t="s">
        <v>330</v>
      </c>
      <c r="B17" s="65"/>
      <c r="C17" s="65"/>
      <c r="D17" s="65"/>
      <c r="E17" s="65"/>
      <c r="F17" s="65"/>
      <c r="G17" s="113"/>
      <c r="H17" s="66"/>
    </row>
    <row r="18" spans="1:14">
      <c r="A18" s="175" t="s">
        <v>331</v>
      </c>
      <c r="B18" s="214"/>
      <c r="C18" s="214"/>
      <c r="D18" s="214"/>
      <c r="E18" s="214"/>
      <c r="F18" s="214"/>
      <c r="G18" s="215"/>
      <c r="H18" s="216"/>
    </row>
    <row r="19" spans="1:14">
      <c r="A19" s="175" t="s">
        <v>332</v>
      </c>
      <c r="B19" s="65"/>
      <c r="C19" s="65"/>
      <c r="D19" s="65"/>
      <c r="E19" s="65"/>
      <c r="F19" s="65"/>
      <c r="G19" s="113"/>
      <c r="H19" s="66"/>
    </row>
    <row r="20" spans="1:14">
      <c r="A20" s="175" t="s">
        <v>333</v>
      </c>
      <c r="B20" s="214"/>
      <c r="C20" s="214"/>
      <c r="D20" s="214"/>
      <c r="E20" s="214"/>
      <c r="F20" s="214"/>
      <c r="G20" s="215"/>
      <c r="H20" s="216"/>
    </row>
    <row r="21" spans="1:14">
      <c r="A21" s="175" t="s">
        <v>334</v>
      </c>
      <c r="B21" s="65"/>
      <c r="C21" s="65"/>
      <c r="D21" s="65"/>
      <c r="E21" s="65"/>
      <c r="F21" s="65"/>
      <c r="G21" s="113"/>
      <c r="H21" s="66"/>
    </row>
    <row r="22" spans="1:14">
      <c r="A22" s="175" t="s">
        <v>335</v>
      </c>
      <c r="B22" s="92"/>
      <c r="C22" s="92"/>
      <c r="D22" s="92"/>
      <c r="E22" s="92"/>
      <c r="F22" s="92"/>
      <c r="G22" s="213"/>
      <c r="H22" s="93"/>
    </row>
    <row r="23" spans="1:14">
      <c r="A23" s="175"/>
      <c r="B23" s="85"/>
      <c r="C23" s="85"/>
      <c r="D23" s="85"/>
      <c r="E23" s="85"/>
      <c r="F23" s="85"/>
      <c r="G23" s="114"/>
      <c r="H23" s="86"/>
    </row>
    <row r="24" spans="1:14">
      <c r="A24" s="183" t="s">
        <v>336</v>
      </c>
      <c r="B24" s="65"/>
      <c r="C24" s="65"/>
      <c r="D24" s="65"/>
      <c r="E24" s="65"/>
      <c r="F24" s="65"/>
      <c r="G24" s="113"/>
      <c r="H24" s="66"/>
    </row>
    <row r="25" spans="1:14">
      <c r="A25" s="183" t="s">
        <v>337</v>
      </c>
      <c r="B25" s="65"/>
      <c r="C25" s="65"/>
      <c r="D25" s="65"/>
      <c r="E25" s="65"/>
      <c r="F25" s="65"/>
      <c r="G25" s="113"/>
      <c r="H25" s="66"/>
    </row>
    <row r="26" spans="1:14">
      <c r="A26" s="183"/>
      <c r="B26" s="85"/>
      <c r="C26" s="85"/>
      <c r="D26" s="85"/>
      <c r="E26" s="85"/>
      <c r="F26" s="85"/>
      <c r="G26" s="114"/>
      <c r="H26" s="86"/>
    </row>
    <row r="27" spans="1:14">
      <c r="A27" s="183" t="s">
        <v>338</v>
      </c>
      <c r="B27" s="94"/>
      <c r="C27" s="94"/>
      <c r="D27" s="94"/>
      <c r="E27" s="94"/>
      <c r="F27" s="94"/>
      <c r="G27" s="217"/>
      <c r="H27" s="95"/>
    </row>
    <row r="28" spans="1:14">
      <c r="A28" s="191" t="s">
        <v>339</v>
      </c>
      <c r="B28" s="32"/>
      <c r="C28" s="32"/>
      <c r="D28" s="32"/>
      <c r="E28" s="32"/>
      <c r="F28" s="32"/>
      <c r="G28" s="218"/>
      <c r="H28" s="55"/>
      <c r="I28" s="175"/>
      <c r="J28" s="175"/>
      <c r="K28" s="175"/>
      <c r="L28" s="175"/>
      <c r="M28" s="175"/>
      <c r="N28" s="175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workbookViewId="0">
      <selection activeCell="E1" sqref="E1"/>
    </sheetView>
  </sheetViews>
  <sheetFormatPr baseColWidth="10" defaultColWidth="11.42578125" defaultRowHeight="12.75"/>
  <cols>
    <col min="1" max="1" width="37.7109375" style="175" customWidth="1"/>
    <col min="2" max="7" width="14.85546875" style="175" customWidth="1"/>
    <col min="8" max="8" width="17.42578125" style="175" customWidth="1"/>
    <col min="9" max="16384" width="11.42578125" style="175"/>
  </cols>
  <sheetData>
    <row r="1" spans="1:7">
      <c r="A1" s="1" t="s">
        <v>0</v>
      </c>
      <c r="B1"/>
      <c r="C1"/>
      <c r="D1"/>
      <c r="E1" s="2">
        <f>InfoInicial!E1</f>
        <v>5</v>
      </c>
    </row>
    <row r="3" spans="1:7" ht="15.75">
      <c r="A3" s="205" t="s">
        <v>340</v>
      </c>
      <c r="B3" s="206"/>
      <c r="C3" s="206"/>
      <c r="D3" s="206"/>
      <c r="E3" s="206"/>
      <c r="F3" s="206"/>
      <c r="G3" s="208"/>
    </row>
    <row r="4" spans="1:7">
      <c r="A4" s="219"/>
      <c r="B4" s="220" t="s">
        <v>47</v>
      </c>
      <c r="C4" s="220" t="s">
        <v>48</v>
      </c>
      <c r="D4" s="220" t="s">
        <v>85</v>
      </c>
      <c r="E4" s="220" t="s">
        <v>86</v>
      </c>
      <c r="F4" s="220" t="s">
        <v>87</v>
      </c>
      <c r="G4" s="221" t="s">
        <v>88</v>
      </c>
    </row>
    <row r="5" spans="1:7">
      <c r="A5" s="222" t="s">
        <v>341</v>
      </c>
      <c r="B5" s="223"/>
      <c r="C5" s="223"/>
      <c r="D5" s="223"/>
      <c r="E5" s="223"/>
      <c r="F5" s="223"/>
      <c r="G5" s="224"/>
    </row>
    <row r="6" spans="1:7">
      <c r="A6" s="189" t="s">
        <v>342</v>
      </c>
      <c r="B6" s="85"/>
      <c r="C6" s="85"/>
      <c r="D6" s="85"/>
      <c r="E6" s="85"/>
      <c r="F6" s="85"/>
      <c r="G6" s="86"/>
    </row>
    <row r="7" spans="1:7">
      <c r="A7" s="209" t="s">
        <v>343</v>
      </c>
      <c r="B7" s="214"/>
      <c r="C7" s="214"/>
      <c r="D7" s="214"/>
      <c r="E7" s="214"/>
      <c r="F7" s="214"/>
      <c r="G7" s="216"/>
    </row>
    <row r="8" spans="1:7">
      <c r="A8" s="209" t="s">
        <v>344</v>
      </c>
      <c r="B8" s="65"/>
      <c r="C8" s="65"/>
      <c r="D8" s="65"/>
      <c r="E8" s="65"/>
      <c r="F8" s="65"/>
      <c r="G8" s="66"/>
    </row>
    <row r="9" spans="1:7">
      <c r="A9" s="189" t="s">
        <v>345</v>
      </c>
      <c r="B9" s="214"/>
      <c r="C9" s="214"/>
      <c r="D9" s="214"/>
      <c r="E9" s="214"/>
      <c r="F9" s="214"/>
      <c r="G9" s="216"/>
    </row>
    <row r="10" spans="1:7">
      <c r="A10" s="189" t="s">
        <v>346</v>
      </c>
      <c r="B10" s="65"/>
      <c r="C10" s="65"/>
      <c r="D10" s="65"/>
      <c r="E10" s="65"/>
      <c r="F10" s="65"/>
      <c r="G10" s="66"/>
    </row>
    <row r="11" spans="1:7">
      <c r="A11" s="189" t="s">
        <v>347</v>
      </c>
      <c r="B11" s="92"/>
      <c r="C11" s="92"/>
      <c r="D11" s="92"/>
      <c r="E11" s="92"/>
      <c r="F11" s="92"/>
      <c r="G11" s="93"/>
    </row>
    <row r="12" spans="1:7">
      <c r="A12" s="189" t="s">
        <v>348</v>
      </c>
      <c r="B12" s="92"/>
      <c r="C12" s="92"/>
      <c r="D12" s="92"/>
      <c r="E12" s="92"/>
      <c r="F12" s="92"/>
      <c r="G12" s="93"/>
    </row>
    <row r="13" spans="1:7">
      <c r="A13" s="189" t="s">
        <v>349</v>
      </c>
      <c r="B13" s="225"/>
      <c r="C13" s="225"/>
      <c r="D13" s="225"/>
      <c r="E13" s="225"/>
      <c r="F13" s="225"/>
      <c r="G13" s="226"/>
    </row>
    <row r="14" spans="1:7">
      <c r="A14" s="209" t="s">
        <v>350</v>
      </c>
      <c r="B14" s="65"/>
      <c r="C14" s="65"/>
      <c r="D14" s="65"/>
      <c r="E14" s="65"/>
      <c r="F14" s="65"/>
      <c r="G14" s="66"/>
    </row>
    <row r="15" spans="1:7">
      <c r="A15" s="209" t="s">
        <v>351</v>
      </c>
      <c r="B15" s="214"/>
      <c r="C15" s="214"/>
      <c r="D15" s="214"/>
      <c r="E15" s="214"/>
      <c r="F15" s="214"/>
      <c r="G15" s="216"/>
    </row>
    <row r="16" spans="1:7">
      <c r="A16" s="209" t="s">
        <v>352</v>
      </c>
      <c r="B16" s="65"/>
      <c r="C16" s="65"/>
      <c r="D16" s="65"/>
      <c r="E16" s="65"/>
      <c r="F16" s="65"/>
      <c r="G16" s="66"/>
    </row>
    <row r="17" spans="1:7">
      <c r="A17" s="209" t="s">
        <v>353</v>
      </c>
      <c r="B17" s="65"/>
      <c r="C17" s="65"/>
      <c r="D17" s="65"/>
      <c r="E17" s="65"/>
      <c r="F17" s="65"/>
      <c r="G17" s="66"/>
    </row>
    <row r="18" spans="1:7">
      <c r="A18" s="189" t="s">
        <v>77</v>
      </c>
      <c r="B18" s="214"/>
      <c r="C18" s="214"/>
      <c r="D18" s="214"/>
      <c r="E18" s="214"/>
      <c r="F18" s="214"/>
      <c r="G18" s="216"/>
    </row>
    <row r="19" spans="1:7">
      <c r="A19" s="209" t="s">
        <v>350</v>
      </c>
      <c r="B19" s="65"/>
      <c r="C19" s="65"/>
      <c r="D19" s="65"/>
      <c r="E19" s="65"/>
      <c r="F19" s="65"/>
      <c r="G19" s="66"/>
    </row>
    <row r="20" spans="1:7">
      <c r="A20" s="209" t="s">
        <v>354</v>
      </c>
      <c r="B20" s="65"/>
      <c r="C20" s="65"/>
      <c r="D20" s="65"/>
      <c r="E20" s="65"/>
      <c r="F20" s="65"/>
      <c r="G20" s="66"/>
    </row>
    <row r="21" spans="1:7">
      <c r="A21" s="209" t="s">
        <v>355</v>
      </c>
      <c r="B21" s="65"/>
      <c r="C21" s="65"/>
      <c r="D21" s="65"/>
      <c r="E21" s="65"/>
      <c r="F21" s="65"/>
      <c r="G21" s="66"/>
    </row>
    <row r="22" spans="1:7">
      <c r="A22" s="209" t="s">
        <v>353</v>
      </c>
      <c r="B22" s="214"/>
      <c r="C22" s="214"/>
      <c r="D22" s="214"/>
      <c r="E22" s="214"/>
      <c r="F22" s="214"/>
      <c r="G22" s="216"/>
    </row>
    <row r="23" spans="1:7">
      <c r="A23" s="189" t="s">
        <v>356</v>
      </c>
      <c r="B23" s="214"/>
      <c r="C23" s="214"/>
      <c r="D23" s="214"/>
      <c r="E23" s="214"/>
      <c r="F23" s="214"/>
      <c r="G23" s="216"/>
    </row>
    <row r="24" spans="1:7">
      <c r="A24" s="189" t="s">
        <v>357</v>
      </c>
      <c r="B24" s="214"/>
      <c r="C24" s="214"/>
      <c r="D24" s="214"/>
      <c r="E24" s="214"/>
      <c r="F24" s="214"/>
      <c r="G24" s="216"/>
    </row>
    <row r="25" spans="1:7">
      <c r="A25" s="189" t="s">
        <v>358</v>
      </c>
      <c r="B25" s="214"/>
      <c r="C25" s="214"/>
      <c r="D25" s="214"/>
      <c r="E25" s="214"/>
      <c r="F25" s="214"/>
      <c r="G25" s="216"/>
    </row>
    <row r="26" spans="1:7">
      <c r="A26" s="189" t="s">
        <v>359</v>
      </c>
      <c r="B26" s="214"/>
      <c r="C26" s="214"/>
      <c r="D26" s="214"/>
      <c r="E26" s="214"/>
      <c r="F26" s="214"/>
      <c r="G26" s="216"/>
    </row>
    <row r="27" spans="1:7">
      <c r="A27" s="189" t="s">
        <v>360</v>
      </c>
      <c r="B27" s="65"/>
      <c r="C27" s="65"/>
      <c r="D27" s="65"/>
      <c r="E27" s="65"/>
      <c r="F27" s="65"/>
      <c r="G27" s="66"/>
    </row>
    <row r="28" spans="1:7">
      <c r="A28" s="189" t="s">
        <v>361</v>
      </c>
      <c r="B28" s="65"/>
      <c r="C28" s="65"/>
      <c r="D28" s="65"/>
      <c r="E28" s="65"/>
      <c r="F28" s="65"/>
      <c r="G28" s="66"/>
    </row>
    <row r="29" spans="1:7">
      <c r="A29" s="189" t="s">
        <v>360</v>
      </c>
      <c r="B29" s="214"/>
      <c r="C29" s="214"/>
      <c r="D29" s="214"/>
      <c r="E29" s="214"/>
      <c r="F29" s="214"/>
      <c r="G29" s="216"/>
    </row>
    <row r="30" spans="1:7">
      <c r="A30" s="189" t="s">
        <v>362</v>
      </c>
      <c r="B30" s="65"/>
      <c r="C30" s="65"/>
      <c r="D30" s="65"/>
      <c r="E30" s="65"/>
      <c r="F30" s="65"/>
      <c r="G30" s="66"/>
    </row>
    <row r="31" spans="1:7">
      <c r="A31" s="189" t="s">
        <v>363</v>
      </c>
      <c r="B31" s="65"/>
      <c r="C31" s="65"/>
      <c r="D31" s="65"/>
      <c r="E31" s="65"/>
      <c r="F31" s="65"/>
      <c r="G31" s="66"/>
    </row>
    <row r="32" spans="1:7">
      <c r="A32" s="189" t="s">
        <v>364</v>
      </c>
      <c r="B32" s="65"/>
      <c r="C32" s="65"/>
      <c r="D32" s="65"/>
      <c r="E32" s="65"/>
      <c r="F32" s="65"/>
      <c r="G32" s="66"/>
    </row>
    <row r="33" spans="1:7">
      <c r="A33" s="189" t="s">
        <v>365</v>
      </c>
      <c r="B33" s="214"/>
      <c r="C33" s="214"/>
      <c r="D33" s="214"/>
      <c r="E33" s="214"/>
      <c r="F33" s="214"/>
      <c r="G33" s="216"/>
    </row>
    <row r="34" spans="1:7">
      <c r="A34" s="189" t="s">
        <v>366</v>
      </c>
      <c r="B34" s="65"/>
      <c r="C34" s="65"/>
      <c r="D34" s="65"/>
      <c r="E34" s="65"/>
      <c r="F34" s="65"/>
      <c r="G34" s="66"/>
    </row>
    <row r="35" spans="1:7">
      <c r="A35" s="191" t="s">
        <v>367</v>
      </c>
      <c r="B35" s="32"/>
      <c r="C35" s="32"/>
      <c r="D35" s="32"/>
      <c r="E35" s="32"/>
      <c r="F35" s="32"/>
      <c r="G35" s="55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workbookViewId="0">
      <selection activeCell="G1" sqref="G1"/>
    </sheetView>
  </sheetViews>
  <sheetFormatPr baseColWidth="10" defaultColWidth="11.42578125" defaultRowHeight="12.75"/>
  <cols>
    <col min="1" max="1" width="8" style="175" customWidth="1"/>
    <col min="2" max="14" width="14.85546875" style="175" customWidth="1"/>
    <col min="15" max="15" width="17.42578125" style="175" customWidth="1"/>
    <col min="16" max="16384" width="11.42578125" style="175"/>
  </cols>
  <sheetData>
    <row r="1" spans="1:14">
      <c r="A1" s="1" t="s">
        <v>0</v>
      </c>
      <c r="B1"/>
      <c r="C1"/>
      <c r="D1"/>
      <c r="G1" s="2">
        <f>InfoInicial!E1</f>
        <v>5</v>
      </c>
    </row>
    <row r="3" spans="1:14" ht="15.75">
      <c r="A3" s="176" t="s">
        <v>368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8"/>
    </row>
    <row r="4" spans="1:14" ht="25.5">
      <c r="A4" s="196" t="s">
        <v>228</v>
      </c>
      <c r="B4" s="197" t="s">
        <v>328</v>
      </c>
      <c r="C4" s="197" t="s">
        <v>369</v>
      </c>
      <c r="D4" s="197" t="s">
        <v>231</v>
      </c>
      <c r="E4" s="197" t="s">
        <v>3</v>
      </c>
      <c r="F4" s="197" t="s">
        <v>232</v>
      </c>
      <c r="G4" s="197" t="s">
        <v>233</v>
      </c>
      <c r="H4" s="197" t="s">
        <v>370</v>
      </c>
      <c r="I4" s="197" t="s">
        <v>371</v>
      </c>
      <c r="J4" s="197" t="s">
        <v>92</v>
      </c>
      <c r="K4" s="197" t="s">
        <v>235</v>
      </c>
      <c r="L4" s="197" t="s">
        <v>236</v>
      </c>
      <c r="M4" s="227" t="s">
        <v>237</v>
      </c>
      <c r="N4" s="228" t="s">
        <v>238</v>
      </c>
    </row>
    <row r="5" spans="1:14">
      <c r="A5" s="229">
        <v>0</v>
      </c>
      <c r="B5" s="133"/>
      <c r="C5" s="63"/>
      <c r="D5" s="63"/>
      <c r="E5" s="63"/>
      <c r="F5" s="63"/>
      <c r="G5" s="63"/>
      <c r="H5" s="63"/>
      <c r="I5" s="63"/>
      <c r="J5" s="63"/>
      <c r="K5" s="63"/>
      <c r="L5" s="63"/>
      <c r="M5" s="134"/>
      <c r="N5" s="64"/>
    </row>
    <row r="6" spans="1:14">
      <c r="A6" s="230">
        <v>1</v>
      </c>
      <c r="B6" s="124"/>
      <c r="C6" s="65"/>
      <c r="D6" s="65"/>
      <c r="E6" s="65"/>
      <c r="F6" s="65"/>
      <c r="G6" s="65"/>
      <c r="H6" s="65"/>
      <c r="I6" s="65"/>
      <c r="J6" s="65"/>
      <c r="K6" s="65"/>
      <c r="L6" s="65"/>
      <c r="M6" s="113"/>
      <c r="N6" s="66"/>
    </row>
    <row r="7" spans="1:14">
      <c r="A7" s="230">
        <v>2</v>
      </c>
      <c r="B7" s="124"/>
      <c r="C7" s="65"/>
      <c r="D7" s="65"/>
      <c r="E7" s="65"/>
      <c r="F7" s="65"/>
      <c r="G7" s="65"/>
      <c r="H7" s="65"/>
      <c r="I7" s="65"/>
      <c r="J7" s="65"/>
      <c r="K7" s="65"/>
      <c r="L7" s="65"/>
      <c r="M7" s="113"/>
      <c r="N7" s="66"/>
    </row>
    <row r="8" spans="1:14">
      <c r="A8" s="230">
        <v>3</v>
      </c>
      <c r="B8" s="124"/>
      <c r="C8" s="65"/>
      <c r="D8" s="65"/>
      <c r="E8" s="65"/>
      <c r="F8" s="65"/>
      <c r="G8" s="65"/>
      <c r="H8" s="65"/>
      <c r="I8" s="65"/>
      <c r="J8" s="65"/>
      <c r="K8" s="65"/>
      <c r="L8" s="65"/>
      <c r="M8" s="113"/>
      <c r="N8" s="66"/>
    </row>
    <row r="9" spans="1:14">
      <c r="A9" s="230">
        <v>4</v>
      </c>
      <c r="B9" s="124"/>
      <c r="C9" s="65"/>
      <c r="D9" s="65"/>
      <c r="E9" s="65"/>
      <c r="F9" s="65"/>
      <c r="G9" s="65"/>
      <c r="H9" s="65"/>
      <c r="I9" s="65"/>
      <c r="J9" s="65"/>
      <c r="K9" s="65"/>
      <c r="L9" s="65"/>
      <c r="M9" s="113"/>
      <c r="N9" s="66"/>
    </row>
    <row r="10" spans="1:14">
      <c r="A10" s="230">
        <v>5</v>
      </c>
      <c r="B10" s="124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113"/>
      <c r="N10" s="66"/>
    </row>
    <row r="11" spans="1:14">
      <c r="A11" s="230"/>
      <c r="B11" s="126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114"/>
      <c r="N11" s="86"/>
    </row>
    <row r="12" spans="1:14">
      <c r="A12" s="231" t="s">
        <v>239</v>
      </c>
      <c r="B12" s="129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115"/>
      <c r="N12" s="72"/>
    </row>
    <row r="14" spans="1:14">
      <c r="C14" s="232" t="s">
        <v>240</v>
      </c>
      <c r="D14" s="138"/>
    </row>
    <row r="15" spans="1:14">
      <c r="A15" s="183"/>
      <c r="C15" s="232" t="s">
        <v>241</v>
      </c>
      <c r="D15" s="139"/>
      <c r="E15" s="175" t="s">
        <v>242</v>
      </c>
    </row>
    <row r="16" spans="1:14">
      <c r="C16" s="232" t="s">
        <v>372</v>
      </c>
      <c r="D16" s="140"/>
    </row>
    <row r="17" spans="1:15">
      <c r="A17" s="233"/>
      <c r="B17" s="234"/>
      <c r="C17" s="234"/>
      <c r="D17" s="234"/>
      <c r="E17" s="235"/>
      <c r="F17" s="236"/>
      <c r="G17" s="236"/>
      <c r="H17" s="236"/>
      <c r="I17" s="236"/>
      <c r="J17" s="234"/>
      <c r="K17" s="236"/>
      <c r="L17" s="236"/>
      <c r="M17" s="236"/>
      <c r="N17" s="236"/>
      <c r="O17" s="234"/>
    </row>
    <row r="18" spans="1:15" ht="15.75">
      <c r="A18" s="237"/>
      <c r="B18" s="236"/>
      <c r="C18" s="238"/>
      <c r="D18" s="236"/>
      <c r="E18" s="239"/>
      <c r="F18" s="236"/>
      <c r="G18" s="236"/>
      <c r="H18" s="236"/>
      <c r="I18" s="236"/>
      <c r="J18" s="236"/>
      <c r="K18" s="236"/>
      <c r="L18" s="236"/>
      <c r="M18" s="236"/>
      <c r="N18" s="236"/>
    </row>
    <row r="20" spans="1:15">
      <c r="A20" s="240"/>
    </row>
    <row r="21" spans="1:15" ht="15.75">
      <c r="A21" s="176" t="s">
        <v>373</v>
      </c>
      <c r="B21" s="177"/>
      <c r="C21" s="177"/>
      <c r="D21" s="177"/>
      <c r="E21" s="177"/>
      <c r="F21" s="177"/>
      <c r="G21" s="177"/>
      <c r="H21" s="178"/>
    </row>
    <row r="22" spans="1:15" ht="38.25">
      <c r="A22" s="196" t="s">
        <v>228</v>
      </c>
      <c r="B22" s="197" t="s">
        <v>374</v>
      </c>
      <c r="C22" s="197" t="s">
        <v>233</v>
      </c>
      <c r="D22" s="197" t="s">
        <v>333</v>
      </c>
      <c r="E22" s="197" t="s">
        <v>375</v>
      </c>
      <c r="F22" s="197" t="s">
        <v>236</v>
      </c>
      <c r="G22" s="227" t="s">
        <v>237</v>
      </c>
      <c r="H22" s="228" t="s">
        <v>238</v>
      </c>
    </row>
    <row r="23" spans="1:15">
      <c r="A23" s="229">
        <v>0</v>
      </c>
      <c r="B23" s="133"/>
      <c r="C23" s="63"/>
      <c r="D23" s="63"/>
      <c r="E23" s="63"/>
      <c r="F23" s="63"/>
      <c r="G23" s="134"/>
      <c r="H23" s="64"/>
    </row>
    <row r="24" spans="1:15">
      <c r="A24" s="230">
        <v>1</v>
      </c>
      <c r="B24" s="124"/>
      <c r="C24" s="65"/>
      <c r="D24" s="65"/>
      <c r="E24" s="65"/>
      <c r="F24" s="65"/>
      <c r="G24" s="113"/>
      <c r="H24" s="66"/>
    </row>
    <row r="25" spans="1:15">
      <c r="A25" s="230">
        <v>2</v>
      </c>
      <c r="B25" s="124"/>
      <c r="C25" s="65"/>
      <c r="D25" s="65"/>
      <c r="E25" s="65"/>
      <c r="F25" s="65"/>
      <c r="G25" s="113"/>
      <c r="H25" s="66"/>
    </row>
    <row r="26" spans="1:15">
      <c r="A26" s="230">
        <v>3</v>
      </c>
      <c r="B26" s="124"/>
      <c r="C26" s="65"/>
      <c r="D26" s="65"/>
      <c r="E26" s="65"/>
      <c r="F26" s="65"/>
      <c r="G26" s="113"/>
      <c r="H26" s="66"/>
    </row>
    <row r="27" spans="1:15">
      <c r="A27" s="230">
        <v>4</v>
      </c>
      <c r="B27" s="124"/>
      <c r="C27" s="65"/>
      <c r="D27" s="65"/>
      <c r="E27" s="65"/>
      <c r="F27" s="65"/>
      <c r="G27" s="113"/>
      <c r="H27" s="66"/>
    </row>
    <row r="28" spans="1:15">
      <c r="A28" s="230">
        <v>5</v>
      </c>
      <c r="B28" s="124"/>
      <c r="C28" s="65"/>
      <c r="D28" s="65"/>
      <c r="E28" s="65"/>
      <c r="F28" s="65"/>
      <c r="G28" s="113"/>
      <c r="H28" s="66"/>
    </row>
    <row r="29" spans="1:15">
      <c r="A29" s="230"/>
      <c r="B29" s="126"/>
      <c r="C29" s="85"/>
      <c r="D29" s="85"/>
      <c r="E29" s="85"/>
      <c r="F29" s="85"/>
      <c r="G29" s="114"/>
      <c r="H29" s="86"/>
    </row>
    <row r="30" spans="1:15">
      <c r="A30" s="231" t="s">
        <v>239</v>
      </c>
      <c r="B30" s="129"/>
      <c r="C30" s="71"/>
      <c r="D30" s="71"/>
      <c r="E30" s="71"/>
      <c r="F30" s="71"/>
      <c r="G30" s="115"/>
      <c r="H30" s="72"/>
    </row>
    <row r="33" spans="3:5">
      <c r="C33" s="232" t="s">
        <v>240</v>
      </c>
      <c r="D33" s="138"/>
      <c r="E33" s="175" t="s">
        <v>376</v>
      </c>
    </row>
    <row r="34" spans="3:5">
      <c r="C34" s="232" t="s">
        <v>241</v>
      </c>
      <c r="D34" s="139"/>
      <c r="E34" s="175" t="s">
        <v>377</v>
      </c>
    </row>
    <row r="35" spans="3:5">
      <c r="C35" s="232" t="s">
        <v>378</v>
      </c>
      <c r="D35" s="140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topLeftCell="A31" workbookViewId="0">
      <selection activeCell="J15" sqref="J15"/>
    </sheetView>
  </sheetViews>
  <sheetFormatPr baseColWidth="10" defaultColWidth="11.42578125" defaultRowHeight="12.75"/>
  <cols>
    <col min="1" max="1" width="58.5703125" style="16" customWidth="1"/>
    <col min="2" max="6" width="14.85546875" style="16" customWidth="1"/>
    <col min="7" max="7" width="35.5703125" style="16" bestFit="1" customWidth="1"/>
    <col min="8" max="8" width="13.85546875" style="16" bestFit="1" customWidth="1"/>
    <col min="9" max="16384" width="11.42578125" style="16"/>
  </cols>
  <sheetData>
    <row r="1" spans="1:9">
      <c r="A1" s="1" t="s">
        <v>43</v>
      </c>
      <c r="B1"/>
      <c r="C1"/>
      <c r="D1"/>
      <c r="E1" s="2">
        <f>InfoInicial!E1</f>
        <v>5</v>
      </c>
    </row>
    <row r="3" spans="1:9" ht="15.75">
      <c r="A3" s="17" t="s">
        <v>44</v>
      </c>
      <c r="B3" s="339" t="s">
        <v>45</v>
      </c>
      <c r="C3" s="339"/>
      <c r="D3" s="340" t="s">
        <v>46</v>
      </c>
      <c r="E3" s="340"/>
      <c r="G3" s="16" t="s">
        <v>381</v>
      </c>
      <c r="H3" s="244">
        <v>3325</v>
      </c>
    </row>
    <row r="4" spans="1:9" ht="15.75">
      <c r="A4" s="20"/>
      <c r="B4" s="21" t="s">
        <v>47</v>
      </c>
      <c r="C4" s="21" t="s">
        <v>48</v>
      </c>
      <c r="D4" s="21" t="s">
        <v>47</v>
      </c>
      <c r="E4" s="22" t="s">
        <v>48</v>
      </c>
      <c r="G4" s="265" t="s">
        <v>382</v>
      </c>
      <c r="H4" s="244">
        <v>12250</v>
      </c>
    </row>
    <row r="5" spans="1:9">
      <c r="A5" s="23"/>
      <c r="B5" s="24"/>
      <c r="C5" s="24"/>
      <c r="D5" s="24"/>
      <c r="E5" s="24"/>
      <c r="G5" s="16" t="s">
        <v>383</v>
      </c>
      <c r="H5" s="244">
        <v>4575</v>
      </c>
    </row>
    <row r="6" spans="1:9">
      <c r="A6" s="25" t="s">
        <v>49</v>
      </c>
      <c r="B6" s="26"/>
      <c r="C6" s="26"/>
      <c r="D6" s="26"/>
      <c r="E6" s="26"/>
      <c r="H6" s="244"/>
      <c r="I6" s="16" t="s">
        <v>411</v>
      </c>
    </row>
    <row r="7" spans="1:9">
      <c r="A7" s="241" t="s">
        <v>50</v>
      </c>
      <c r="B7" s="28">
        <f>InfoInicial!B27*'E-Inv AF y Am'!H3</f>
        <v>703736.25</v>
      </c>
      <c r="C7" s="28"/>
      <c r="D7" s="28"/>
      <c r="E7" s="28"/>
      <c r="G7" s="16" t="s">
        <v>389</v>
      </c>
      <c r="H7" s="244">
        <v>4735</v>
      </c>
      <c r="I7" s="244">
        <v>18000</v>
      </c>
    </row>
    <row r="8" spans="1:9">
      <c r="A8" s="241" t="s">
        <v>51</v>
      </c>
      <c r="B8" s="28">
        <f>H4*InfoInicial!B27</f>
        <v>2592712.5</v>
      </c>
      <c r="C8" s="28"/>
      <c r="D8" s="28"/>
      <c r="E8" s="28"/>
      <c r="G8" s="16" t="s">
        <v>385</v>
      </c>
      <c r="H8" s="244">
        <v>24710</v>
      </c>
    </row>
    <row r="9" spans="1:9">
      <c r="A9" s="241" t="s">
        <v>52</v>
      </c>
      <c r="B9" s="28">
        <f>H5*InfoInicial!B27</f>
        <v>968298.75</v>
      </c>
      <c r="C9" s="28"/>
      <c r="D9" s="28"/>
      <c r="E9" s="28"/>
      <c r="G9" s="16" t="s">
        <v>386</v>
      </c>
      <c r="H9" s="244">
        <v>3500</v>
      </c>
    </row>
    <row r="10" spans="1:9">
      <c r="A10" s="27" t="s">
        <v>53</v>
      </c>
      <c r="B10" s="28"/>
      <c r="C10" s="28"/>
      <c r="D10" s="28"/>
      <c r="E10" s="28"/>
      <c r="G10" s="16" t="s">
        <v>390</v>
      </c>
      <c r="H10" s="244">
        <v>3500</v>
      </c>
    </row>
    <row r="11" spans="1:9">
      <c r="A11" s="241" t="s">
        <v>384</v>
      </c>
      <c r="B11" s="28"/>
      <c r="C11" s="28"/>
      <c r="D11" s="28">
        <f>H7*InfoInicial!B32</f>
        <v>82862.5</v>
      </c>
      <c r="E11" s="28"/>
      <c r="G11" s="16" t="s">
        <v>391</v>
      </c>
      <c r="H11" s="244">
        <v>7000</v>
      </c>
    </row>
    <row r="12" spans="1:9">
      <c r="A12" s="241" t="s">
        <v>387</v>
      </c>
      <c r="B12" s="28">
        <f>3*H8+H9</f>
        <v>77630</v>
      </c>
      <c r="C12" s="28"/>
      <c r="D12" s="28"/>
      <c r="E12" s="28"/>
      <c r="G12" s="16" t="s">
        <v>392</v>
      </c>
      <c r="H12" s="244">
        <v>18000</v>
      </c>
    </row>
    <row r="13" spans="1:9">
      <c r="A13" s="242" t="s">
        <v>388</v>
      </c>
      <c r="B13" s="28">
        <f>0.2*D11</f>
        <v>16572.5</v>
      </c>
      <c r="C13" s="28"/>
      <c r="E13" s="28"/>
      <c r="G13" s="243"/>
      <c r="H13" s="244"/>
    </row>
    <row r="14" spans="1:9">
      <c r="A14" s="241" t="s">
        <v>54</v>
      </c>
      <c r="B14" s="28">
        <f>H10/1.21</f>
        <v>2892.5619834710747</v>
      </c>
      <c r="C14" s="28"/>
      <c r="D14" s="28"/>
      <c r="E14" s="28"/>
      <c r="G14" s="16" t="s">
        <v>393</v>
      </c>
      <c r="H14" s="244">
        <v>2000</v>
      </c>
    </row>
    <row r="15" spans="1:9">
      <c r="A15" s="27" t="s">
        <v>55</v>
      </c>
      <c r="B15" s="28">
        <f>(H12*2+H11*5)/1.21</f>
        <v>58677.685950413223</v>
      </c>
      <c r="C15" s="28"/>
      <c r="D15" s="28"/>
      <c r="E15" s="28"/>
      <c r="G15" s="16" t="s">
        <v>394</v>
      </c>
      <c r="H15" s="244">
        <v>14000</v>
      </c>
    </row>
    <row r="16" spans="1:9">
      <c r="A16" s="27" t="s">
        <v>56</v>
      </c>
      <c r="B16" s="28">
        <f>(H14*9+H15*3+H16*4+H17+H18*6+H19*3+H20*5+H21*2+H22+H23+H24+H25+H26+H27*2)/1.21</f>
        <v>121239.6694214876</v>
      </c>
      <c r="C16" s="28"/>
      <c r="D16" s="28"/>
      <c r="E16" s="28"/>
      <c r="G16" s="16" t="s">
        <v>395</v>
      </c>
      <c r="H16" s="244">
        <v>5000</v>
      </c>
    </row>
    <row r="17" spans="1:8">
      <c r="A17" s="27" t="s">
        <v>57</v>
      </c>
      <c r="B17" s="28"/>
      <c r="C17" s="28"/>
      <c r="D17" s="28"/>
      <c r="E17" s="28"/>
      <c r="G17" s="16" t="s">
        <v>396</v>
      </c>
      <c r="H17" s="244">
        <v>14000</v>
      </c>
    </row>
    <row r="18" spans="1:8">
      <c r="A18" s="241" t="s">
        <v>15</v>
      </c>
      <c r="B18" s="28">
        <f>0.09*SUM(B7:B16)</f>
        <v>408758.39256198343</v>
      </c>
      <c r="C18" s="28"/>
      <c r="D18" s="28">
        <f>0.09*D11</f>
        <v>7457.625</v>
      </c>
      <c r="E18" s="28"/>
      <c r="G18" s="266" t="s">
        <v>397</v>
      </c>
      <c r="H18" s="244">
        <v>1000</v>
      </c>
    </row>
    <row r="19" spans="1:8">
      <c r="A19" s="27"/>
      <c r="B19" s="28"/>
      <c r="C19" s="28"/>
      <c r="D19" s="28"/>
      <c r="E19" s="28"/>
      <c r="G19" s="16" t="s">
        <v>398</v>
      </c>
      <c r="H19" s="244">
        <v>2200</v>
      </c>
    </row>
    <row r="20" spans="1:8">
      <c r="A20" s="25" t="s">
        <v>58</v>
      </c>
      <c r="B20" s="246">
        <f>SUM(B5:B19)</f>
        <v>4950518.309917355</v>
      </c>
      <c r="C20" s="246"/>
      <c r="D20" s="246">
        <f>SUM(D5:D19)</f>
        <v>90320.125</v>
      </c>
      <c r="E20" s="28"/>
      <c r="G20" s="16" t="s">
        <v>399</v>
      </c>
      <c r="H20" s="244">
        <v>2200</v>
      </c>
    </row>
    <row r="21" spans="1:8">
      <c r="A21" s="27"/>
      <c r="B21" s="30"/>
      <c r="C21" s="30"/>
      <c r="D21" s="30"/>
      <c r="E21" s="30"/>
      <c r="G21" s="16" t="s">
        <v>400</v>
      </c>
      <c r="H21" s="244">
        <v>3600</v>
      </c>
    </row>
    <row r="22" spans="1:8">
      <c r="A22" s="25" t="s">
        <v>59</v>
      </c>
      <c r="B22" s="30"/>
      <c r="C22" s="30"/>
      <c r="D22" s="30"/>
      <c r="E22" s="30"/>
      <c r="G22" s="16" t="s">
        <v>401</v>
      </c>
      <c r="H22" s="244">
        <v>2700</v>
      </c>
    </row>
    <row r="23" spans="1:8">
      <c r="A23" s="27" t="s">
        <v>60</v>
      </c>
      <c r="B23" s="28">
        <f>H29</f>
        <v>25000</v>
      </c>
      <c r="C23" s="28"/>
      <c r="D23" s="28"/>
      <c r="E23" s="28"/>
      <c r="G23" s="16" t="s">
        <v>402</v>
      </c>
      <c r="H23" s="244">
        <v>4200</v>
      </c>
    </row>
    <row r="24" spans="1:8">
      <c r="A24" s="241" t="s">
        <v>61</v>
      </c>
      <c r="B24" s="28">
        <f>H30</f>
        <v>100000</v>
      </c>
      <c r="C24" s="28"/>
      <c r="D24" s="28"/>
      <c r="E24" s="28"/>
      <c r="G24" s="16" t="s">
        <v>403</v>
      </c>
      <c r="H24" s="244">
        <v>5000</v>
      </c>
    </row>
    <row r="25" spans="1:8">
      <c r="A25" s="27" t="s">
        <v>62</v>
      </c>
      <c r="B25" s="28">
        <f>H31</f>
        <v>80000</v>
      </c>
      <c r="C25" s="28"/>
      <c r="D25" s="28"/>
      <c r="E25" s="28"/>
      <c r="G25" s="16" t="s">
        <v>404</v>
      </c>
      <c r="H25" s="244">
        <v>2000</v>
      </c>
    </row>
    <row r="26" spans="1:8">
      <c r="A26" s="29" t="s">
        <v>63</v>
      </c>
      <c r="C26" s="28">
        <f>'E-Costos'!G35</f>
        <v>218197.01986755576</v>
      </c>
      <c r="D26" s="28"/>
      <c r="E26" s="28"/>
      <c r="G26" s="244" t="s">
        <v>405</v>
      </c>
      <c r="H26" s="244">
        <v>4000</v>
      </c>
    </row>
    <row r="27" spans="1:8">
      <c r="A27" s="29" t="s">
        <v>64</v>
      </c>
      <c r="B27" s="28">
        <f>H32</f>
        <v>600000</v>
      </c>
      <c r="C27" s="28"/>
      <c r="D27" s="28"/>
      <c r="E27" s="28"/>
      <c r="G27" s="244" t="s">
        <v>406</v>
      </c>
      <c r="H27" s="244">
        <v>2000</v>
      </c>
    </row>
    <row r="28" spans="1:8">
      <c r="A28" s="29" t="s">
        <v>65</v>
      </c>
      <c r="B28" s="28"/>
      <c r="C28" s="28"/>
      <c r="D28" s="28"/>
      <c r="E28" s="28"/>
      <c r="H28" s="244"/>
    </row>
    <row r="29" spans="1:8">
      <c r="A29" s="241" t="s">
        <v>15</v>
      </c>
      <c r="B29" s="28">
        <f>0.09*SUM(B23:C27)</f>
        <v>92087.731788080011</v>
      </c>
      <c r="C29" s="28"/>
      <c r="D29" s="28"/>
      <c r="E29" s="28"/>
      <c r="G29" s="16" t="s">
        <v>60</v>
      </c>
      <c r="H29" s="244">
        <v>25000</v>
      </c>
    </row>
    <row r="30" spans="1:8">
      <c r="A30" s="27"/>
      <c r="B30" s="28"/>
      <c r="C30" s="28"/>
      <c r="D30" s="28"/>
      <c r="E30" s="28"/>
      <c r="G30" s="16" t="s">
        <v>407</v>
      </c>
      <c r="H30" s="244">
        <v>100000</v>
      </c>
    </row>
    <row r="31" spans="1:8">
      <c r="A31" s="25" t="s">
        <v>66</v>
      </c>
      <c r="B31" s="246">
        <f>SUM(B23:B29)</f>
        <v>897087.73178807995</v>
      </c>
      <c r="C31" s="246">
        <f>SUM(C23:C29)</f>
        <v>218197.01986755576</v>
      </c>
      <c r="D31" s="28"/>
      <c r="E31" s="28"/>
      <c r="G31" s="16" t="s">
        <v>408</v>
      </c>
      <c r="H31" s="244">
        <v>80000</v>
      </c>
    </row>
    <row r="32" spans="1:8">
      <c r="A32" s="27"/>
      <c r="B32" s="30"/>
      <c r="C32" s="30"/>
      <c r="D32" s="30"/>
      <c r="E32" s="30"/>
      <c r="G32" s="244" t="s">
        <v>409</v>
      </c>
      <c r="H32" s="244">
        <v>600000</v>
      </c>
    </row>
    <row r="33" spans="1:7">
      <c r="A33" s="25" t="s">
        <v>67</v>
      </c>
      <c r="B33" s="246">
        <f>SUM(B31+B20)</f>
        <v>5847606.0417054351</v>
      </c>
      <c r="C33" s="246">
        <f t="shared" ref="C33:D33" si="0">SUM(C31+C20)</f>
        <v>218197.01986755576</v>
      </c>
      <c r="D33" s="246">
        <f t="shared" si="0"/>
        <v>90320.125</v>
      </c>
      <c r="E33" s="28"/>
    </row>
    <row r="34" spans="1:7">
      <c r="A34" s="25" t="s">
        <v>410</v>
      </c>
      <c r="B34" s="246">
        <f>0.21*SUM(B33:D33)</f>
        <v>1292785.8691803282</v>
      </c>
      <c r="C34" s="246"/>
      <c r="D34" s="246"/>
      <c r="E34" s="28"/>
    </row>
    <row r="35" spans="1:7">
      <c r="A35" s="27"/>
      <c r="B35" s="30"/>
      <c r="C35" s="30"/>
      <c r="D35" s="30"/>
      <c r="E35" s="30"/>
    </row>
    <row r="36" spans="1:7">
      <c r="A36" s="31" t="s">
        <v>68</v>
      </c>
      <c r="B36" s="247">
        <f>SUM(B33+B34)</f>
        <v>7140391.9108857634</v>
      </c>
      <c r="C36" s="247">
        <f t="shared" ref="C36:D36" si="1">SUM(C33+C34)</f>
        <v>218197.01986755576</v>
      </c>
      <c r="D36" s="247">
        <f t="shared" si="1"/>
        <v>90320.125</v>
      </c>
      <c r="E36" s="32"/>
    </row>
    <row r="39" spans="1:7">
      <c r="A39" s="33" t="s">
        <v>69</v>
      </c>
      <c r="B39" s="18" t="s">
        <v>70</v>
      </c>
      <c r="C39" s="18" t="s">
        <v>71</v>
      </c>
      <c r="D39" s="339" t="s">
        <v>72</v>
      </c>
      <c r="E39" s="339"/>
      <c r="F39" s="339"/>
      <c r="G39" s="34" t="s">
        <v>73</v>
      </c>
    </row>
    <row r="40" spans="1:7">
      <c r="A40" s="35"/>
      <c r="B40" s="21" t="s">
        <v>74</v>
      </c>
      <c r="C40" s="21"/>
      <c r="D40" s="21" t="s">
        <v>75</v>
      </c>
      <c r="E40" s="21" t="s">
        <v>76</v>
      </c>
      <c r="F40" s="21"/>
      <c r="G40" s="36"/>
    </row>
    <row r="41" spans="1:7">
      <c r="A41" s="37" t="s">
        <v>77</v>
      </c>
      <c r="B41" s="38"/>
      <c r="C41" s="38"/>
      <c r="D41" s="38"/>
      <c r="E41" s="38"/>
      <c r="F41" s="39"/>
      <c r="G41" s="40"/>
    </row>
    <row r="42" spans="1:7">
      <c r="A42" s="41"/>
      <c r="B42" s="42"/>
      <c r="C42" s="42"/>
      <c r="D42" s="42"/>
      <c r="E42" s="42"/>
      <c r="F42" s="43"/>
      <c r="G42" s="44"/>
    </row>
    <row r="43" spans="1:7">
      <c r="A43" s="27" t="s">
        <v>50</v>
      </c>
      <c r="B43" s="28">
        <f>B7</f>
        <v>703736.25</v>
      </c>
      <c r="C43" s="245"/>
      <c r="D43" s="28"/>
      <c r="E43" s="28"/>
      <c r="F43" s="28"/>
      <c r="G43" s="45">
        <f>B43</f>
        <v>703736.25</v>
      </c>
    </row>
    <row r="44" spans="1:7">
      <c r="A44" s="27" t="s">
        <v>51</v>
      </c>
      <c r="B44" s="28">
        <f>B8</f>
        <v>2592712.5</v>
      </c>
      <c r="C44" s="245">
        <v>3.3000000000000002E-2</v>
      </c>
      <c r="D44" s="28">
        <f>B44*C44</f>
        <v>85559.512499999997</v>
      </c>
      <c r="E44" s="28">
        <f>D44</f>
        <v>85559.512499999997</v>
      </c>
      <c r="F44" s="28"/>
      <c r="G44" s="45">
        <f>B44-3*D44-2*E44</f>
        <v>2164914.9375</v>
      </c>
    </row>
    <row r="45" spans="1:7">
      <c r="A45" s="27" t="s">
        <v>52</v>
      </c>
      <c r="B45" s="28">
        <f>B9</f>
        <v>968298.75</v>
      </c>
      <c r="C45" s="245">
        <v>0.1</v>
      </c>
      <c r="D45" s="28">
        <f t="shared" ref="D45:D50" si="2">B45*C45</f>
        <v>96829.875</v>
      </c>
      <c r="E45" s="28">
        <f t="shared" ref="E45:E49" si="3">D45</f>
        <v>96829.875</v>
      </c>
      <c r="F45" s="28"/>
      <c r="G45" s="45">
        <f t="shared" ref="G45:G50" si="4">B45-3*D45-2*E45</f>
        <v>484149.375</v>
      </c>
    </row>
    <row r="46" spans="1:7">
      <c r="A46" s="29" t="s">
        <v>53</v>
      </c>
      <c r="B46" s="28">
        <f>(D11-I7)+B12+B13+B14</f>
        <v>161957.56198347107</v>
      </c>
      <c r="C46" s="245">
        <v>0.1</v>
      </c>
      <c r="D46" s="28">
        <f t="shared" si="2"/>
        <v>16195.756198347108</v>
      </c>
      <c r="E46" s="28">
        <f t="shared" si="3"/>
        <v>16195.756198347108</v>
      </c>
      <c r="F46" s="28"/>
      <c r="G46" s="45">
        <f t="shared" si="4"/>
        <v>80978.780991735519</v>
      </c>
    </row>
    <row r="47" spans="1:7">
      <c r="A47" s="29" t="s">
        <v>55</v>
      </c>
      <c r="B47" s="28">
        <f>B15</f>
        <v>58677.685950413223</v>
      </c>
      <c r="C47" s="245">
        <v>0.2</v>
      </c>
      <c r="D47" s="28">
        <f t="shared" si="2"/>
        <v>11735.537190082645</v>
      </c>
      <c r="E47" s="28">
        <f t="shared" si="3"/>
        <v>11735.537190082645</v>
      </c>
      <c r="F47" s="28"/>
      <c r="G47" s="45">
        <f t="shared" si="4"/>
        <v>0</v>
      </c>
    </row>
    <row r="48" spans="1:7">
      <c r="A48" s="29" t="s">
        <v>56</v>
      </c>
      <c r="B48" s="28">
        <f>B16</f>
        <v>121239.6694214876</v>
      </c>
      <c r="C48" s="245">
        <v>0.2</v>
      </c>
      <c r="D48" s="28">
        <f t="shared" si="2"/>
        <v>24247.933884297523</v>
      </c>
      <c r="E48" s="28">
        <f t="shared" si="3"/>
        <v>24247.933884297523</v>
      </c>
      <c r="F48" s="28"/>
      <c r="G48" s="45">
        <f t="shared" si="4"/>
        <v>0</v>
      </c>
    </row>
    <row r="49" spans="1:9">
      <c r="A49" s="29" t="s">
        <v>15</v>
      </c>
      <c r="B49" s="28">
        <f>B18+D18</f>
        <v>416216.01756198343</v>
      </c>
      <c r="C49" s="245">
        <v>0.2</v>
      </c>
      <c r="D49" s="28">
        <f t="shared" si="2"/>
        <v>83243.203512396693</v>
      </c>
      <c r="E49" s="28">
        <f t="shared" si="3"/>
        <v>83243.203512396693</v>
      </c>
      <c r="F49" s="28"/>
      <c r="G49" s="45">
        <f t="shared" si="4"/>
        <v>0</v>
      </c>
    </row>
    <row r="50" spans="1:9">
      <c r="A50" s="29" t="s">
        <v>78</v>
      </c>
      <c r="B50" s="28">
        <f>I7</f>
        <v>18000</v>
      </c>
      <c r="C50" s="245">
        <f>1/3</f>
        <v>0.33333333333333331</v>
      </c>
      <c r="D50" s="28">
        <f t="shared" si="2"/>
        <v>6000</v>
      </c>
      <c r="E50" s="28"/>
      <c r="F50" s="28"/>
      <c r="G50" s="45">
        <f t="shared" si="4"/>
        <v>0</v>
      </c>
    </row>
    <row r="51" spans="1:9">
      <c r="A51" s="46" t="s">
        <v>79</v>
      </c>
      <c r="B51" s="246">
        <f>SUM(B43:B50)</f>
        <v>5040838.434917355</v>
      </c>
      <c r="C51" s="246"/>
      <c r="D51" s="246">
        <f>SUM(D43:D50)</f>
        <v>323811.81828512403</v>
      </c>
      <c r="E51" s="246">
        <f t="shared" ref="E51:G51" si="5">SUM(E43:E50)</f>
        <v>317811.81828512403</v>
      </c>
      <c r="F51" s="246"/>
      <c r="G51" s="267">
        <f t="shared" si="5"/>
        <v>3433779.3434917354</v>
      </c>
    </row>
    <row r="52" spans="1:9">
      <c r="A52" s="25"/>
      <c r="B52" s="47"/>
      <c r="C52" s="48"/>
      <c r="D52" s="49"/>
      <c r="E52" s="49"/>
      <c r="F52" s="49"/>
      <c r="G52" s="50"/>
    </row>
    <row r="53" spans="1:9">
      <c r="A53" s="46" t="s">
        <v>80</v>
      </c>
      <c r="B53" s="28">
        <f>SUM(B31+C31)</f>
        <v>1115284.7516556357</v>
      </c>
      <c r="C53" s="245">
        <v>0.2</v>
      </c>
      <c r="D53" s="28">
        <f t="shared" ref="D53" si="6">B53*C53</f>
        <v>223056.95033112715</v>
      </c>
      <c r="E53" s="28">
        <f t="shared" ref="E53" si="7">D53</f>
        <v>223056.95033112715</v>
      </c>
      <c r="F53" s="28"/>
      <c r="G53" s="45">
        <f t="shared" ref="G53" si="8">B53-3*D53-2*E53</f>
        <v>0</v>
      </c>
    </row>
    <row r="54" spans="1:9">
      <c r="A54" s="46"/>
      <c r="B54" s="28"/>
      <c r="C54" s="28"/>
      <c r="D54" s="28"/>
      <c r="E54" s="28"/>
      <c r="F54" s="28"/>
      <c r="G54" s="45"/>
    </row>
    <row r="55" spans="1:9">
      <c r="A55" s="25"/>
      <c r="B55" s="26"/>
      <c r="C55" s="26"/>
      <c r="D55" s="51"/>
      <c r="E55" s="52"/>
      <c r="F55" s="52"/>
      <c r="G55" s="53"/>
      <c r="H55" s="54"/>
      <c r="I55" s="54"/>
    </row>
    <row r="56" spans="1:9">
      <c r="A56" s="31" t="s">
        <v>81</v>
      </c>
      <c r="B56" s="247">
        <f>SUM(B51+B53)</f>
        <v>6156123.1865729904</v>
      </c>
      <c r="C56" s="247"/>
      <c r="D56" s="247">
        <f>SUM(D51+D53)</f>
        <v>546868.76861625118</v>
      </c>
      <c r="E56" s="247">
        <f t="shared" ref="E56:G56" si="9">SUM(E51+E53)</f>
        <v>540868.76861625118</v>
      </c>
      <c r="F56" s="247"/>
      <c r="G56" s="268">
        <f t="shared" si="9"/>
        <v>3433779.3434917354</v>
      </c>
      <c r="H56" s="56"/>
      <c r="I56" s="56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  <ignoredErrors>
    <ignoredError sqref="B8:B9 B20 D20 B31:C31 B33:D33 B18 B43:B46 B53 D44:D51 E44:E49 C50 G43:G51 B51 E51 G53 D53:E53 G56 D56:E56 B56 C26 B7 D11 B12:B16 D18 B23:B25 B27 B36:D36 B29 B34 B47:B5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A198"/>
  <sheetViews>
    <sheetView topLeftCell="A106" zoomScaleNormal="100" workbookViewId="0">
      <selection activeCell="D63" sqref="D63"/>
    </sheetView>
  </sheetViews>
  <sheetFormatPr baseColWidth="10" defaultColWidth="11.42578125" defaultRowHeight="12.75"/>
  <cols>
    <col min="1" max="1" width="41" style="16" customWidth="1"/>
    <col min="2" max="4" width="14.85546875" style="16" customWidth="1"/>
    <col min="5" max="5" width="15.42578125" style="16" bestFit="1" customWidth="1"/>
    <col min="6" max="6" width="14.85546875" style="16" customWidth="1"/>
    <col min="7" max="7" width="17.42578125" style="16" customWidth="1"/>
    <col min="8" max="8" width="11.42578125" style="16"/>
    <col min="9" max="9" width="29.5703125" style="16" customWidth="1"/>
    <col min="10" max="10" width="14.85546875" style="16" bestFit="1" customWidth="1"/>
    <col min="11" max="13" width="14.42578125" style="16" bestFit="1" customWidth="1"/>
    <col min="14" max="14" width="18.85546875" style="16" customWidth="1"/>
    <col min="15" max="15" width="32.28515625" style="16" bestFit="1" customWidth="1"/>
    <col min="16" max="16" width="15" style="16" bestFit="1" customWidth="1"/>
    <col min="17" max="19" width="11.42578125" style="16"/>
    <col min="20" max="20" width="25.42578125" style="16" bestFit="1" customWidth="1"/>
    <col min="21" max="21" width="8.85546875" style="16" bestFit="1" customWidth="1"/>
    <col min="22" max="22" width="11.42578125" style="16"/>
    <col min="23" max="23" width="5.42578125" style="16" customWidth="1"/>
    <col min="24" max="24" width="23.28515625" style="16" bestFit="1" customWidth="1"/>
    <col min="25" max="25" width="15" style="16" bestFit="1" customWidth="1"/>
    <col min="26" max="26" width="12.85546875" style="16" bestFit="1" customWidth="1"/>
    <col min="27" max="16384" width="11.42578125" style="16"/>
  </cols>
  <sheetData>
    <row r="3" spans="1:18" ht="13.5" thickBot="1">
      <c r="A3" s="1" t="s">
        <v>0</v>
      </c>
      <c r="B3"/>
      <c r="C3"/>
      <c r="D3"/>
      <c r="E3" s="2">
        <f>InfoInicial!E1</f>
        <v>5</v>
      </c>
    </row>
    <row r="4" spans="1:18" ht="17.25" thickTop="1" thickBot="1">
      <c r="A4" s="57" t="s">
        <v>82</v>
      </c>
      <c r="B4" s="58"/>
      <c r="C4" s="58"/>
      <c r="D4" s="58"/>
      <c r="E4" s="58"/>
      <c r="F4" s="59"/>
      <c r="I4" s="76" t="s">
        <v>412</v>
      </c>
      <c r="J4" s="279">
        <v>0.9</v>
      </c>
    </row>
    <row r="5" spans="1:18">
      <c r="A5" s="60"/>
      <c r="B5" s="61" t="s">
        <v>83</v>
      </c>
      <c r="C5" s="61"/>
      <c r="D5" s="61"/>
      <c r="E5" s="61"/>
      <c r="F5" s="62"/>
      <c r="I5" s="275" t="s">
        <v>413</v>
      </c>
    </row>
    <row r="6" spans="1:18" ht="13.5" customHeight="1" thickBot="1">
      <c r="A6" s="60" t="s">
        <v>84</v>
      </c>
      <c r="B6" s="21" t="s">
        <v>48</v>
      </c>
      <c r="C6" s="21" t="s">
        <v>85</v>
      </c>
      <c r="D6" s="21" t="s">
        <v>86</v>
      </c>
      <c r="E6" s="21" t="s">
        <v>87</v>
      </c>
      <c r="F6" s="22" t="s">
        <v>88</v>
      </c>
      <c r="I6" s="341" t="s">
        <v>424</v>
      </c>
      <c r="J6" s="341"/>
      <c r="K6" s="341"/>
      <c r="L6" s="341"/>
      <c r="M6" s="341"/>
      <c r="N6" s="341"/>
      <c r="O6" s="341"/>
      <c r="P6" s="341"/>
      <c r="Q6" s="341"/>
      <c r="R6" s="341"/>
    </row>
    <row r="7" spans="1:18" ht="13.5" thickTop="1">
      <c r="A7" s="23" t="s">
        <v>89</v>
      </c>
      <c r="B7" s="159">
        <f>SUM(J15*L15+J17*L17+J16*L16+J18*L18)</f>
        <v>711257.5</v>
      </c>
      <c r="C7" s="159">
        <f>J10*L10+J11*L11+J12*L12+J13*L13</f>
        <v>865028.5</v>
      </c>
      <c r="D7" s="159">
        <f>J10*L10+J11*L11+J12*L12+J13*L13</f>
        <v>865028.5</v>
      </c>
      <c r="E7" s="159">
        <f>J10*L10+J11*L11+J12*L12+J13*L13</f>
        <v>865028.5</v>
      </c>
      <c r="F7" s="162">
        <f>J10*L10+J11*L11+J12*L12+J13*L13</f>
        <v>865028.5</v>
      </c>
      <c r="I7" s="341"/>
      <c r="J7" s="341"/>
      <c r="K7" s="341"/>
      <c r="L7" s="341"/>
      <c r="M7" s="341"/>
      <c r="N7" s="341"/>
      <c r="O7" s="341"/>
      <c r="P7" s="341"/>
      <c r="Q7" s="341"/>
      <c r="R7" s="341"/>
    </row>
    <row r="8" spans="1:18">
      <c r="A8" s="27" t="s">
        <v>90</v>
      </c>
      <c r="B8" s="65">
        <f>J35</f>
        <v>889200</v>
      </c>
      <c r="C8" s="65">
        <f>J34</f>
        <v>936000</v>
      </c>
      <c r="D8" s="65">
        <f>J34</f>
        <v>936000</v>
      </c>
      <c r="E8" s="65">
        <f>J34</f>
        <v>936000</v>
      </c>
      <c r="F8" s="66">
        <f>J34</f>
        <v>936000</v>
      </c>
      <c r="I8" s="341"/>
      <c r="J8" s="341"/>
      <c r="K8" s="341"/>
      <c r="L8" s="341"/>
      <c r="M8" s="341"/>
      <c r="N8" s="341"/>
      <c r="O8" s="341"/>
      <c r="P8" s="341"/>
      <c r="Q8" s="341"/>
      <c r="R8" s="341"/>
    </row>
    <row r="9" spans="1:18">
      <c r="A9" s="27" t="s">
        <v>91</v>
      </c>
      <c r="B9" s="65"/>
      <c r="C9" s="65"/>
      <c r="D9" s="65"/>
      <c r="E9" s="65"/>
      <c r="F9" s="45"/>
      <c r="J9" s="16" t="s">
        <v>414</v>
      </c>
      <c r="L9" s="16" t="s">
        <v>423</v>
      </c>
      <c r="N9" s="16" t="s">
        <v>502</v>
      </c>
    </row>
    <row r="10" spans="1:18">
      <c r="A10" s="27" t="s">
        <v>92</v>
      </c>
      <c r="B10" s="65">
        <f>('E-Inv AF y Am'!D56-'E-Inv AF y Am'!B50)*'E-Costos'!J4+'E-Inv AF y Am'!B50</f>
        <v>493981.89175462606</v>
      </c>
      <c r="C10" s="65">
        <f>B10</f>
        <v>493981.89175462606</v>
      </c>
      <c r="D10" s="65">
        <f>B10</f>
        <v>493981.89175462606</v>
      </c>
      <c r="E10" s="65">
        <f>'E-Inv AF y Am'!E56*'E-Costos'!J4</f>
        <v>486781.89175462606</v>
      </c>
      <c r="F10" s="66">
        <f>E10</f>
        <v>486781.89175462606</v>
      </c>
      <c r="H10" s="16" t="s">
        <v>428</v>
      </c>
      <c r="I10" s="16" t="s">
        <v>418</v>
      </c>
      <c r="J10" s="16">
        <v>160</v>
      </c>
      <c r="K10" s="16" t="s">
        <v>421</v>
      </c>
      <c r="L10" s="16">
        <v>180</v>
      </c>
      <c r="M10" s="16" t="s">
        <v>427</v>
      </c>
      <c r="N10" s="76" t="s">
        <v>496</v>
      </c>
      <c r="O10" s="16" t="s">
        <v>498</v>
      </c>
      <c r="P10" s="16">
        <v>1</v>
      </c>
    </row>
    <row r="11" spans="1:18">
      <c r="A11" s="27" t="s">
        <v>93</v>
      </c>
      <c r="B11" s="65">
        <f>J45</f>
        <v>1018875</v>
      </c>
      <c r="C11" s="65">
        <f>J44</f>
        <v>1072500</v>
      </c>
      <c r="D11" s="65">
        <f>J44</f>
        <v>1072500</v>
      </c>
      <c r="E11" s="65">
        <f>J44</f>
        <v>1072500</v>
      </c>
      <c r="F11" s="66">
        <f>J44</f>
        <v>1072500</v>
      </c>
      <c r="I11" s="16" t="s">
        <v>417</v>
      </c>
      <c r="J11" s="16">
        <v>1500</v>
      </c>
      <c r="K11" s="16" t="s">
        <v>420</v>
      </c>
      <c r="L11" s="16">
        <v>25.38</v>
      </c>
      <c r="M11" s="16" t="s">
        <v>426</v>
      </c>
      <c r="N11" s="16" t="s">
        <v>497</v>
      </c>
      <c r="O11" s="16" t="s">
        <v>48</v>
      </c>
      <c r="P11" s="277">
        <v>141.18125000000001</v>
      </c>
    </row>
    <row r="12" spans="1:18">
      <c r="A12" s="27" t="s">
        <v>94</v>
      </c>
      <c r="B12" s="65">
        <f>J85</f>
        <v>3681271.6377427685</v>
      </c>
      <c r="C12" s="65">
        <f>D12</f>
        <v>4416871.637742769</v>
      </c>
      <c r="D12" s="65">
        <f>K85-'E-Inv AF y Am'!B50</f>
        <v>4416871.637742769</v>
      </c>
      <c r="E12" s="65">
        <f>K85</f>
        <v>4434871.637742769</v>
      </c>
      <c r="F12" s="66">
        <f>K85</f>
        <v>4434871.637742769</v>
      </c>
      <c r="I12" s="16" t="s">
        <v>415</v>
      </c>
      <c r="J12" s="16">
        <v>395</v>
      </c>
      <c r="K12" s="16" t="s">
        <v>419</v>
      </c>
      <c r="L12" s="16">
        <v>1118.3</v>
      </c>
      <c r="M12" s="16" t="s">
        <v>425</v>
      </c>
      <c r="O12" s="16" t="s">
        <v>428</v>
      </c>
      <c r="P12" s="277">
        <v>172.875</v>
      </c>
    </row>
    <row r="13" spans="1:18">
      <c r="A13" s="27" t="s">
        <v>95</v>
      </c>
      <c r="B13" s="65">
        <f>J97</f>
        <v>82311.240000000005</v>
      </c>
      <c r="C13" s="65">
        <f>K97</f>
        <v>91916.64</v>
      </c>
      <c r="D13" s="65">
        <f>K97</f>
        <v>91916.64</v>
      </c>
      <c r="E13" s="65">
        <f>K97</f>
        <v>91916.64</v>
      </c>
      <c r="F13" s="66">
        <f>K97</f>
        <v>91916.64</v>
      </c>
      <c r="I13" s="16" t="s">
        <v>416</v>
      </c>
      <c r="J13" s="16">
        <v>1500</v>
      </c>
      <c r="K13" s="16" t="s">
        <v>422</v>
      </c>
      <c r="L13" s="16">
        <v>237.62</v>
      </c>
      <c r="M13" s="16" t="s">
        <v>425</v>
      </c>
      <c r="N13" s="16" t="s">
        <v>499</v>
      </c>
      <c r="P13" s="277">
        <f>L10/P12</f>
        <v>1.0412147505422993</v>
      </c>
    </row>
    <row r="14" spans="1:18">
      <c r="A14" s="27" t="s">
        <v>96</v>
      </c>
      <c r="B14" s="65" t="s">
        <v>380</v>
      </c>
      <c r="C14" s="65" t="s">
        <v>380</v>
      </c>
      <c r="D14" s="65" t="s">
        <v>380</v>
      </c>
      <c r="E14" s="65" t="s">
        <v>380</v>
      </c>
      <c r="F14" s="66" t="s">
        <v>380</v>
      </c>
      <c r="J14" s="16" t="s">
        <v>414</v>
      </c>
      <c r="L14" s="16" t="s">
        <v>423</v>
      </c>
      <c r="N14" s="16" t="s">
        <v>500</v>
      </c>
      <c r="P14" s="16">
        <f>P13*P11</f>
        <v>147</v>
      </c>
    </row>
    <row r="15" spans="1:18">
      <c r="A15" s="27" t="s">
        <v>97</v>
      </c>
      <c r="B15" s="65">
        <f>K104</f>
        <v>33392.020500000006</v>
      </c>
      <c r="C15" s="65">
        <f>K104</f>
        <v>33392.020500000006</v>
      </c>
      <c r="D15" s="65">
        <f>K104</f>
        <v>33392.020500000006</v>
      </c>
      <c r="E15" s="65">
        <f>K104</f>
        <v>33392.020500000006</v>
      </c>
      <c r="F15" s="66">
        <f>K104</f>
        <v>33392.020500000006</v>
      </c>
      <c r="H15" s="16" t="s">
        <v>48</v>
      </c>
      <c r="I15" s="16" t="s">
        <v>418</v>
      </c>
      <c r="J15" s="16">
        <v>160</v>
      </c>
      <c r="K15" s="16" t="s">
        <v>421</v>
      </c>
      <c r="L15" s="16">
        <v>148</v>
      </c>
      <c r="M15" s="16" t="s">
        <v>427</v>
      </c>
      <c r="N15" s="16" t="s">
        <v>501</v>
      </c>
      <c r="R15" s="16">
        <f>L15-P14-P10</f>
        <v>0</v>
      </c>
    </row>
    <row r="16" spans="1:18">
      <c r="A16" s="27" t="s">
        <v>15</v>
      </c>
      <c r="B16" s="65">
        <f>0.09*SUM(B7:B15)</f>
        <v>621926.03609976545</v>
      </c>
      <c r="C16" s="65">
        <f t="shared" ref="C16:F16" si="0">0.09*SUM(C7:C15)</f>
        <v>711872.1620997655</v>
      </c>
      <c r="D16" s="65">
        <f t="shared" si="0"/>
        <v>711872.1620997655</v>
      </c>
      <c r="E16" s="65">
        <f t="shared" si="0"/>
        <v>712844.1620997655</v>
      </c>
      <c r="F16" s="66">
        <f t="shared" si="0"/>
        <v>712844.1620997655</v>
      </c>
      <c r="I16" s="16" t="s">
        <v>417</v>
      </c>
      <c r="J16" s="16">
        <v>1500</v>
      </c>
      <c r="K16" s="16" t="s">
        <v>420</v>
      </c>
      <c r="L16" s="16">
        <v>20.87</v>
      </c>
      <c r="M16" s="16" t="s">
        <v>426</v>
      </c>
    </row>
    <row r="17" spans="1:13">
      <c r="A17" s="25" t="s">
        <v>98</v>
      </c>
      <c r="B17" s="253">
        <f>SUM(B7:B16)</f>
        <v>7532215.3260971596</v>
      </c>
      <c r="C17" s="253">
        <f t="shared" ref="C17:F17" si="1">SUM(C7:C16)</f>
        <v>8621562.8520971593</v>
      </c>
      <c r="D17" s="253">
        <f t="shared" si="1"/>
        <v>8621562.8520971593</v>
      </c>
      <c r="E17" s="253">
        <f t="shared" si="1"/>
        <v>8633334.8520971593</v>
      </c>
      <c r="F17" s="254">
        <f t="shared" si="1"/>
        <v>8633334.8520971593</v>
      </c>
      <c r="I17" s="16" t="s">
        <v>415</v>
      </c>
      <c r="J17" s="16">
        <v>395</v>
      </c>
      <c r="K17" s="16" t="s">
        <v>419</v>
      </c>
      <c r="L17" s="16">
        <v>919.5</v>
      </c>
      <c r="M17" s="16" t="s">
        <v>425</v>
      </c>
    </row>
    <row r="18" spans="1:13">
      <c r="A18" s="67"/>
      <c r="B18" s="68"/>
      <c r="C18" s="68"/>
      <c r="D18" s="68"/>
      <c r="E18" s="68"/>
      <c r="F18" s="248"/>
      <c r="I18" s="16" t="s">
        <v>416</v>
      </c>
      <c r="J18" s="16">
        <v>1500</v>
      </c>
      <c r="K18" s="16" t="s">
        <v>422</v>
      </c>
      <c r="L18" s="16">
        <v>195.38</v>
      </c>
      <c r="M18" s="16" t="s">
        <v>425</v>
      </c>
    </row>
    <row r="19" spans="1:13">
      <c r="A19" s="70" t="s">
        <v>99</v>
      </c>
      <c r="B19" s="249">
        <f>(B15+B10+B11+B13+B16)/B17</f>
        <v>0.29878144621769437</v>
      </c>
      <c r="C19" s="249">
        <f t="shared" ref="C19:F19" si="2">(C15+C10+C11+C13+C16)/C17</f>
        <v>0.27879663531881699</v>
      </c>
      <c r="D19" s="249">
        <f t="shared" si="2"/>
        <v>0.27879663531881699</v>
      </c>
      <c r="E19" s="249">
        <f t="shared" si="2"/>
        <v>0.27769509180708085</v>
      </c>
      <c r="F19" s="252">
        <f t="shared" si="2"/>
        <v>0.27769509180708085</v>
      </c>
    </row>
    <row r="20" spans="1:13" ht="13.5" thickBot="1">
      <c r="A20" s="35" t="s">
        <v>100</v>
      </c>
      <c r="B20" s="250">
        <f>1-B19</f>
        <v>0.70121855378230569</v>
      </c>
      <c r="C20" s="250">
        <f t="shared" ref="C20:F20" si="3">1-C19</f>
        <v>0.72120336468118307</v>
      </c>
      <c r="D20" s="250">
        <f t="shared" si="3"/>
        <v>0.72120336468118307</v>
      </c>
      <c r="E20" s="250">
        <f t="shared" si="3"/>
        <v>0.72230490819291915</v>
      </c>
      <c r="F20" s="251">
        <f t="shared" si="3"/>
        <v>0.72230490819291915</v>
      </c>
    </row>
    <row r="21" spans="1:13" ht="14.25" thickTop="1" thickBot="1">
      <c r="I21" s="275" t="s">
        <v>441</v>
      </c>
    </row>
    <row r="22" spans="1:13" ht="13.5" thickTop="1">
      <c r="A22" s="73"/>
      <c r="B22" s="18" t="s">
        <v>101</v>
      </c>
      <c r="C22" s="18"/>
      <c r="D22" s="18"/>
      <c r="E22" s="18"/>
      <c r="F22" s="18"/>
      <c r="G22" s="19"/>
      <c r="I22" s="16" t="s">
        <v>432</v>
      </c>
      <c r="J22" s="271">
        <v>3</v>
      </c>
    </row>
    <row r="23" spans="1:13">
      <c r="A23" s="60"/>
      <c r="B23" s="61" t="s">
        <v>102</v>
      </c>
      <c r="C23" s="61"/>
      <c r="D23" s="61"/>
      <c r="E23" s="61"/>
      <c r="F23" s="61"/>
      <c r="G23" s="62" t="s">
        <v>103</v>
      </c>
      <c r="I23" s="16" t="s">
        <v>431</v>
      </c>
      <c r="J23" s="271">
        <v>1</v>
      </c>
    </row>
    <row r="24" spans="1:13" ht="13.5" thickBot="1">
      <c r="A24" s="60" t="s">
        <v>84</v>
      </c>
      <c r="B24" s="74" t="s">
        <v>48</v>
      </c>
      <c r="C24" s="74" t="s">
        <v>85</v>
      </c>
      <c r="D24" s="74" t="s">
        <v>86</v>
      </c>
      <c r="E24" s="74" t="s">
        <v>87</v>
      </c>
      <c r="F24" s="74" t="s">
        <v>88</v>
      </c>
      <c r="G24" s="75" t="s">
        <v>48</v>
      </c>
      <c r="I24" s="16" t="s">
        <v>433</v>
      </c>
      <c r="J24" s="271">
        <v>16000</v>
      </c>
    </row>
    <row r="25" spans="1:13" ht="13.5" thickTop="1">
      <c r="A25" s="23" t="s">
        <v>89</v>
      </c>
      <c r="B25" s="63">
        <f>B7/L15</f>
        <v>4805.7939189189192</v>
      </c>
      <c r="C25" s="63">
        <f>C7/L10</f>
        <v>4805.7138888888885</v>
      </c>
      <c r="D25" s="63">
        <f>C25</f>
        <v>4805.7138888888885</v>
      </c>
      <c r="E25" s="63">
        <f>C25</f>
        <v>4805.7138888888885</v>
      </c>
      <c r="F25" s="63">
        <f>C25</f>
        <v>4805.7138888888885</v>
      </c>
      <c r="G25" s="64">
        <f>B7*R15/L15</f>
        <v>0</v>
      </c>
      <c r="I25" s="16" t="s">
        <v>434</v>
      </c>
      <c r="J25" s="273">
        <v>2296</v>
      </c>
    </row>
    <row r="26" spans="1:13">
      <c r="A26" s="27" t="s">
        <v>90</v>
      </c>
      <c r="B26" s="65">
        <f>L34*P10</f>
        <v>5200</v>
      </c>
      <c r="C26" s="65">
        <f>B26</f>
        <v>5200</v>
      </c>
      <c r="D26" s="65">
        <f>B26</f>
        <v>5200</v>
      </c>
      <c r="E26" s="65">
        <f>B26</f>
        <v>5200</v>
      </c>
      <c r="F26" s="65">
        <f>B26</f>
        <v>5200</v>
      </c>
      <c r="G26" s="66">
        <f>B8-B26-P11*L34</f>
        <v>149857.5</v>
      </c>
      <c r="I26" s="16" t="s">
        <v>435</v>
      </c>
      <c r="J26" s="274">
        <f>J24*13</f>
        <v>208000</v>
      </c>
    </row>
    <row r="27" spans="1:13">
      <c r="A27" s="27" t="s">
        <v>91</v>
      </c>
      <c r="B27" s="28"/>
      <c r="C27" s="28"/>
      <c r="D27" s="28"/>
      <c r="E27" s="28"/>
      <c r="F27" s="28"/>
      <c r="G27" s="45"/>
      <c r="I27" s="16" t="s">
        <v>436</v>
      </c>
      <c r="J27" s="274">
        <f>J26/J25</f>
        <v>90.592334494773525</v>
      </c>
    </row>
    <row r="28" spans="1:13">
      <c r="A28" s="27" t="s">
        <v>92</v>
      </c>
      <c r="B28" s="65">
        <f>(B10/(P11+P10/2))*P10/2</f>
        <v>1743.2860443941101</v>
      </c>
      <c r="C28" s="65">
        <f>D28</f>
        <v>1428.7256449880724</v>
      </c>
      <c r="D28" s="65">
        <f>(D10/P12)*P10/2</f>
        <v>1428.7256449880724</v>
      </c>
      <c r="E28" s="65">
        <f>(E10/P12)*P10/2</f>
        <v>1407.9013499772266</v>
      </c>
      <c r="F28" s="65">
        <f>E28</f>
        <v>1407.9013499772266</v>
      </c>
      <c r="G28" s="66"/>
      <c r="I28" s="16" t="s">
        <v>439</v>
      </c>
      <c r="J28" s="272">
        <v>0.5</v>
      </c>
    </row>
    <row r="29" spans="1:13">
      <c r="A29" s="27" t="s">
        <v>93</v>
      </c>
      <c r="B29" s="65">
        <f>(B11/P11)*P10/2</f>
        <v>3608.3934658462081</v>
      </c>
      <c r="C29" s="65">
        <f>(C11/P12)*P10/2</f>
        <v>3101.9522776572667</v>
      </c>
      <c r="D29" s="65">
        <f>C29</f>
        <v>3101.9522776572667</v>
      </c>
      <c r="E29" s="65">
        <f>C29</f>
        <v>3101.9522776572667</v>
      </c>
      <c r="F29" s="65">
        <f>C29</f>
        <v>3101.9522776572667</v>
      </c>
      <c r="G29" s="66"/>
      <c r="J29" s="272"/>
    </row>
    <row r="30" spans="1:13">
      <c r="A30" s="27" t="s">
        <v>94</v>
      </c>
      <c r="B30" s="65">
        <f>D30</f>
        <v>12774.755279082485</v>
      </c>
      <c r="C30" s="65">
        <f>D30</f>
        <v>12774.755279082485</v>
      </c>
      <c r="D30" s="65">
        <f>(D12/P12)*P10/2</f>
        <v>12774.755279082485</v>
      </c>
      <c r="E30" s="65">
        <f>(E12/P12)*P10/2</f>
        <v>12826.816016609599</v>
      </c>
      <c r="F30" s="65">
        <f>E30</f>
        <v>12826.816016609599</v>
      </c>
      <c r="G30" s="66">
        <f>B12-(C12/P12)*P11-B30</f>
        <v>61385.044973757904</v>
      </c>
      <c r="I30" s="16" t="s">
        <v>437</v>
      </c>
      <c r="J30" s="272">
        <v>0.95</v>
      </c>
    </row>
    <row r="31" spans="1:13">
      <c r="A31" s="27" t="s">
        <v>104</v>
      </c>
      <c r="B31" s="65">
        <f>(B13/P11)*P10/2</f>
        <v>291.50910620213381</v>
      </c>
      <c r="C31" s="65">
        <f>(C13/P12)*P10/2</f>
        <v>265.84711496746206</v>
      </c>
      <c r="D31" s="65">
        <f>C31</f>
        <v>265.84711496746206</v>
      </c>
      <c r="E31" s="65">
        <f>C31</f>
        <v>265.84711496746206</v>
      </c>
      <c r="F31" s="65">
        <f>C31</f>
        <v>265.84711496746206</v>
      </c>
      <c r="G31" s="66">
        <f>B13-(C13/P12)*P11-B31</f>
        <v>6954.4748937978629</v>
      </c>
      <c r="J31" s="271"/>
    </row>
    <row r="32" spans="1:13">
      <c r="A32" s="27" t="s">
        <v>105</v>
      </c>
      <c r="B32" s="65" t="s">
        <v>380</v>
      </c>
      <c r="C32" s="65" t="s">
        <v>380</v>
      </c>
      <c r="D32" s="65" t="s">
        <v>380</v>
      </c>
      <c r="E32" s="65" t="s">
        <v>380</v>
      </c>
      <c r="F32" s="65" t="s">
        <v>380</v>
      </c>
      <c r="G32" s="66" t="s">
        <v>380</v>
      </c>
      <c r="I32" s="270" t="s">
        <v>438</v>
      </c>
      <c r="J32" s="274">
        <f>J27+J27*J28+J27*J29</f>
        <v>135.88850174216029</v>
      </c>
    </row>
    <row r="33" spans="1:27">
      <c r="A33" s="27" t="s">
        <v>106</v>
      </c>
      <c r="B33" s="65">
        <f>(B15/P11)*P10/2</f>
        <v>118.25940236398249</v>
      </c>
      <c r="C33" s="65">
        <f>(C15/P12)*P10/2</f>
        <v>96.578511930585705</v>
      </c>
      <c r="D33" s="65">
        <f>C33</f>
        <v>96.578511930585705</v>
      </c>
      <c r="E33" s="65">
        <f>C33</f>
        <v>96.578511930585705</v>
      </c>
      <c r="F33" s="65">
        <f>C33</f>
        <v>96.578511930585705</v>
      </c>
      <c r="G33" s="66"/>
      <c r="I33" s="16" t="s">
        <v>440</v>
      </c>
      <c r="J33" s="271"/>
    </row>
    <row r="34" spans="1:27" ht="13.5" thickBot="1">
      <c r="A34" s="27" t="s">
        <v>107</v>
      </c>
      <c r="B34" s="65">
        <f>0.09*(SUM(B25:B33))</f>
        <v>2568.7797495127056</v>
      </c>
      <c r="C34" s="65">
        <f t="shared" ref="C34:F34" si="4">0.09*(SUM(C25:C33))</f>
        <v>2490.6215445763287</v>
      </c>
      <c r="D34" s="65">
        <f t="shared" si="4"/>
        <v>2490.6215445763287</v>
      </c>
      <c r="E34" s="65">
        <f t="shared" si="4"/>
        <v>2493.4328244027924</v>
      </c>
      <c r="F34" s="65">
        <f t="shared" si="4"/>
        <v>2493.4328244027924</v>
      </c>
      <c r="G34" s="66"/>
      <c r="I34" s="16" t="s">
        <v>428</v>
      </c>
      <c r="J34" s="274">
        <f>J22*J25*J32</f>
        <v>936000</v>
      </c>
      <c r="K34" s="16" t="s">
        <v>503</v>
      </c>
      <c r="L34" s="243">
        <f>J34/L10</f>
        <v>5200</v>
      </c>
    </row>
    <row r="35" spans="1:27" ht="13.5" thickBot="1">
      <c r="A35" s="35" t="s">
        <v>108</v>
      </c>
      <c r="B35" s="145">
        <f>SUM(B25:B34)</f>
        <v>31110.776966320547</v>
      </c>
      <c r="C35" s="145">
        <f t="shared" ref="C35:G35" si="5">SUM(C25:C34)</f>
        <v>30164.194262091092</v>
      </c>
      <c r="D35" s="145">
        <f t="shared" si="5"/>
        <v>30164.194262091092</v>
      </c>
      <c r="E35" s="145">
        <f t="shared" si="5"/>
        <v>30198.241984433822</v>
      </c>
      <c r="F35" s="145">
        <f t="shared" si="5"/>
        <v>30198.241984433822</v>
      </c>
      <c r="G35" s="174">
        <f t="shared" si="5"/>
        <v>218197.01986755576</v>
      </c>
      <c r="I35" s="16" t="s">
        <v>48</v>
      </c>
      <c r="J35" s="274">
        <f>J34*J30</f>
        <v>889200</v>
      </c>
      <c r="L35" s="243"/>
      <c r="N35" s="278"/>
      <c r="O35" s="76" t="s">
        <v>504</v>
      </c>
      <c r="Q35" s="279">
        <v>0.05</v>
      </c>
      <c r="W35" s="278"/>
      <c r="X35" s="76" t="s">
        <v>516</v>
      </c>
      <c r="AA35" s="279">
        <v>0.05</v>
      </c>
    </row>
    <row r="36" spans="1:27" ht="14.25" thickTop="1" thickBot="1">
      <c r="A36" s="76"/>
      <c r="B36" s="77"/>
      <c r="C36" s="77"/>
      <c r="D36" s="77"/>
      <c r="E36" s="77"/>
      <c r="F36" s="77"/>
      <c r="G36" s="77"/>
      <c r="N36" s="278"/>
      <c r="O36" s="275" t="s">
        <v>122</v>
      </c>
      <c r="W36" s="278"/>
      <c r="X36" s="275" t="s">
        <v>122</v>
      </c>
    </row>
    <row r="37" spans="1:27" ht="13.5" thickTop="1">
      <c r="A37" s="37"/>
      <c r="B37" s="78" t="s">
        <v>109</v>
      </c>
      <c r="C37" s="78"/>
      <c r="D37" s="78"/>
      <c r="E37" s="78"/>
      <c r="F37" s="79"/>
      <c r="I37" s="275" t="s">
        <v>442</v>
      </c>
      <c r="J37" s="16" t="s">
        <v>447</v>
      </c>
      <c r="K37" s="16" t="s">
        <v>446</v>
      </c>
      <c r="N37" s="278"/>
      <c r="P37" s="16" t="s">
        <v>447</v>
      </c>
      <c r="Q37" s="16" t="s">
        <v>446</v>
      </c>
      <c r="W37" s="278"/>
      <c r="Y37" s="16" t="s">
        <v>447</v>
      </c>
      <c r="Z37" s="16" t="s">
        <v>446</v>
      </c>
    </row>
    <row r="38" spans="1:27" ht="13.5" thickBot="1">
      <c r="A38" s="35"/>
      <c r="B38" s="74" t="s">
        <v>48</v>
      </c>
      <c r="C38" s="74" t="s">
        <v>85</v>
      </c>
      <c r="D38" s="74" t="s">
        <v>86</v>
      </c>
      <c r="E38" s="74" t="s">
        <v>87</v>
      </c>
      <c r="F38" s="22" t="s">
        <v>88</v>
      </c>
      <c r="G38" s="77"/>
      <c r="I38" s="16" t="s">
        <v>443</v>
      </c>
      <c r="J38" s="244">
        <v>45000</v>
      </c>
      <c r="K38" s="244">
        <f>J38/3+J38*J41/3</f>
        <v>22500</v>
      </c>
      <c r="N38" s="278"/>
      <c r="O38" s="16" t="s">
        <v>443</v>
      </c>
      <c r="P38" s="244">
        <v>45000</v>
      </c>
      <c r="Q38" s="244">
        <f>P38/3+P38*P40/3</f>
        <v>22500</v>
      </c>
      <c r="W38" s="278"/>
      <c r="X38" s="16" t="s">
        <v>443</v>
      </c>
      <c r="Y38" s="244">
        <v>45000</v>
      </c>
      <c r="Z38" s="244">
        <f>Y38/3+Y38*Y41/3</f>
        <v>22500</v>
      </c>
    </row>
    <row r="39" spans="1:27" ht="13.5" thickTop="1">
      <c r="A39" s="41" t="s">
        <v>98</v>
      </c>
      <c r="B39" s="159">
        <f>B17</f>
        <v>7532215.3260971596</v>
      </c>
      <c r="C39" s="159">
        <f t="shared" ref="C39:F39" si="6">C17</f>
        <v>8621562.8520971593</v>
      </c>
      <c r="D39" s="159">
        <f t="shared" si="6"/>
        <v>8621562.8520971593</v>
      </c>
      <c r="E39" s="159">
        <f t="shared" si="6"/>
        <v>8633334.8520971593</v>
      </c>
      <c r="F39" s="162">
        <f t="shared" si="6"/>
        <v>8633334.8520971593</v>
      </c>
      <c r="G39" s="77"/>
      <c r="I39" s="16" t="s">
        <v>445</v>
      </c>
      <c r="J39" s="244">
        <v>30000</v>
      </c>
      <c r="K39" s="244">
        <f>J39/2+J39*J41/2</f>
        <v>22500</v>
      </c>
      <c r="N39" s="278"/>
      <c r="O39" s="16" t="s">
        <v>505</v>
      </c>
      <c r="P39" s="244">
        <v>25000</v>
      </c>
      <c r="Q39" s="244">
        <f>P39+P39*P41</f>
        <v>48750</v>
      </c>
      <c r="W39" s="278"/>
      <c r="X39" s="16" t="s">
        <v>445</v>
      </c>
      <c r="Y39" s="244">
        <v>30000</v>
      </c>
      <c r="Z39" s="244">
        <f>Y39/2+Y39*Y41/2</f>
        <v>22500</v>
      </c>
    </row>
    <row r="40" spans="1:27">
      <c r="A40" s="27" t="s">
        <v>110</v>
      </c>
      <c r="B40" s="65"/>
      <c r="C40" s="65"/>
      <c r="D40" s="65"/>
      <c r="E40" s="65"/>
      <c r="F40" s="45"/>
      <c r="G40" s="77"/>
      <c r="I40" s="16" t="s">
        <v>444</v>
      </c>
      <c r="J40" s="244">
        <v>25000</v>
      </c>
      <c r="K40" s="244">
        <f>J40+J40*J41</f>
        <v>37500</v>
      </c>
      <c r="N40" s="278"/>
      <c r="O40" s="16" t="s">
        <v>439</v>
      </c>
      <c r="P40" s="272">
        <v>0.5</v>
      </c>
      <c r="W40" s="278"/>
      <c r="X40" s="16" t="s">
        <v>517</v>
      </c>
      <c r="Y40" s="244">
        <v>25000</v>
      </c>
      <c r="Z40" s="244">
        <f>Y40+Y40*Y41</f>
        <v>37500</v>
      </c>
    </row>
    <row r="41" spans="1:27">
      <c r="A41" s="27" t="s">
        <v>111</v>
      </c>
      <c r="B41" s="65">
        <f>-G35</f>
        <v>-218197.01986755576</v>
      </c>
      <c r="C41" s="65"/>
      <c r="D41" s="65"/>
      <c r="E41" s="65"/>
      <c r="F41" s="45"/>
      <c r="G41" s="77"/>
      <c r="I41" s="16" t="s">
        <v>439</v>
      </c>
      <c r="J41" s="272">
        <v>0.5</v>
      </c>
      <c r="N41" s="278"/>
      <c r="O41" s="16" t="s">
        <v>437</v>
      </c>
      <c r="P41" s="272">
        <v>0.95</v>
      </c>
      <c r="W41" s="278"/>
      <c r="X41" s="16" t="s">
        <v>439</v>
      </c>
      <c r="Y41" s="272">
        <v>0.5</v>
      </c>
    </row>
    <row r="42" spans="1:27">
      <c r="A42" s="27" t="s">
        <v>112</v>
      </c>
      <c r="B42" s="65">
        <f>-B35</f>
        <v>-31110.776966320547</v>
      </c>
      <c r="C42" s="65">
        <f>-C35-B42</f>
        <v>946.58270422945498</v>
      </c>
      <c r="D42" s="65">
        <f>-D35+C35</f>
        <v>0</v>
      </c>
      <c r="E42" s="65">
        <f t="shared" ref="E42:F42" si="7">-E35+D35</f>
        <v>-34.047722342729685</v>
      </c>
      <c r="F42" s="66">
        <f t="shared" si="7"/>
        <v>0</v>
      </c>
      <c r="G42" s="77"/>
      <c r="I42" s="16" t="s">
        <v>437</v>
      </c>
      <c r="J42" s="272">
        <v>0.95</v>
      </c>
      <c r="N42" s="278"/>
      <c r="P42" s="16" t="s">
        <v>448</v>
      </c>
      <c r="W42" s="278"/>
      <c r="X42" s="16" t="s">
        <v>437</v>
      </c>
      <c r="Y42" s="272">
        <v>0.95</v>
      </c>
    </row>
    <row r="43" spans="1:27">
      <c r="A43" s="25" t="s">
        <v>113</v>
      </c>
      <c r="B43" s="65">
        <f>SUM(B39:B42)</f>
        <v>7282907.5292632831</v>
      </c>
      <c r="C43" s="65">
        <f t="shared" ref="C43:F43" si="8">SUM(C39:C42)</f>
        <v>8622509.4348013885</v>
      </c>
      <c r="D43" s="65">
        <f t="shared" si="8"/>
        <v>8621562.8520971593</v>
      </c>
      <c r="E43" s="65">
        <f t="shared" si="8"/>
        <v>8633300.8043748159</v>
      </c>
      <c r="F43" s="66">
        <f t="shared" si="8"/>
        <v>8633334.8520971593</v>
      </c>
      <c r="G43" s="77"/>
      <c r="J43" s="16" t="s">
        <v>448</v>
      </c>
      <c r="N43" s="278"/>
      <c r="O43" s="16" t="s">
        <v>428</v>
      </c>
      <c r="P43" s="244">
        <f>(Q38+Q39)*12</f>
        <v>855000</v>
      </c>
      <c r="W43" s="278"/>
      <c r="Y43" s="16" t="s">
        <v>448</v>
      </c>
    </row>
    <row r="44" spans="1:27">
      <c r="A44" s="70" t="s">
        <v>114</v>
      </c>
      <c r="B44" s="80">
        <f>B43/148</f>
        <v>49208.834657184343</v>
      </c>
      <c r="C44" s="80">
        <f>C43/180</f>
        <v>47902.830193341048</v>
      </c>
      <c r="D44" s="80">
        <f t="shared" ref="D44:F44" si="9">D43/180</f>
        <v>47897.571400539775</v>
      </c>
      <c r="E44" s="80">
        <f t="shared" si="9"/>
        <v>47962.782246526753</v>
      </c>
      <c r="F44" s="66">
        <f t="shared" si="9"/>
        <v>47962.971400539776</v>
      </c>
      <c r="G44" s="77"/>
      <c r="I44" s="16" t="s">
        <v>428</v>
      </c>
      <c r="J44" s="244">
        <f>SUM(K38:K40)*13</f>
        <v>1072500</v>
      </c>
      <c r="N44" s="278"/>
      <c r="O44" s="16" t="s">
        <v>48</v>
      </c>
      <c r="P44" s="244">
        <f>P43*P41</f>
        <v>812250</v>
      </c>
      <c r="W44" s="278"/>
      <c r="X44" s="16" t="s">
        <v>428</v>
      </c>
      <c r="Y44" s="244">
        <f>SUM(Z38:Z40)*12</f>
        <v>990000</v>
      </c>
    </row>
    <row r="45" spans="1:27">
      <c r="A45" s="70"/>
      <c r="B45" s="80"/>
      <c r="C45" s="80"/>
      <c r="D45" s="80"/>
      <c r="E45" s="80"/>
      <c r="F45" s="81"/>
      <c r="G45" s="77"/>
      <c r="I45" s="16" t="s">
        <v>48</v>
      </c>
      <c r="J45" s="244">
        <f>J44*J42</f>
        <v>1018875</v>
      </c>
      <c r="N45" s="278"/>
      <c r="W45" s="278"/>
      <c r="X45" s="16" t="s">
        <v>48</v>
      </c>
      <c r="Y45" s="244">
        <f>Y44*Y42</f>
        <v>940500</v>
      </c>
    </row>
    <row r="46" spans="1:27">
      <c r="A46" s="70" t="s">
        <v>99</v>
      </c>
      <c r="B46" s="255">
        <f>(B17*B19-(B28+B29+B33+B34))/B43</f>
        <v>0.30790552546245409</v>
      </c>
      <c r="C46" s="255">
        <f t="shared" ref="C46:F46" si="10">(C17*C19-(C28+C29+C33+C34))/C43</f>
        <v>0.27794052931998225</v>
      </c>
      <c r="D46" s="255">
        <f t="shared" si="10"/>
        <v>0.27797104509796494</v>
      </c>
      <c r="E46" s="255">
        <f t="shared" si="10"/>
        <v>0.27687380569192627</v>
      </c>
      <c r="F46" s="256">
        <f t="shared" si="10"/>
        <v>0.27687271377059786</v>
      </c>
      <c r="G46" s="77"/>
      <c r="N46" s="278"/>
      <c r="W46" s="278"/>
    </row>
    <row r="47" spans="1:27" ht="13.5" thickBot="1">
      <c r="A47" s="35" t="s">
        <v>100</v>
      </c>
      <c r="B47" s="257">
        <f>1-B46</f>
        <v>0.69209447453754591</v>
      </c>
      <c r="C47" s="257">
        <f t="shared" ref="C47:F47" si="11">1-C46</f>
        <v>0.72205947068001775</v>
      </c>
      <c r="D47" s="257">
        <f t="shared" si="11"/>
        <v>0.72202895490203511</v>
      </c>
      <c r="E47" s="257">
        <f t="shared" si="11"/>
        <v>0.72312619430807379</v>
      </c>
      <c r="F47" s="258">
        <f t="shared" si="11"/>
        <v>0.72312728622940214</v>
      </c>
      <c r="G47" s="77"/>
      <c r="I47" s="275" t="s">
        <v>531</v>
      </c>
      <c r="N47" s="278"/>
      <c r="O47" s="275" t="s">
        <v>94</v>
      </c>
      <c r="W47" s="278"/>
      <c r="X47" s="275" t="s">
        <v>94</v>
      </c>
    </row>
    <row r="48" spans="1:27" ht="13.5" thickTop="1">
      <c r="I48" s="16" t="s">
        <v>476</v>
      </c>
      <c r="K48" s="16" t="s">
        <v>479</v>
      </c>
      <c r="L48" s="16" t="s">
        <v>477</v>
      </c>
      <c r="M48" s="16" t="s">
        <v>478</v>
      </c>
      <c r="N48" s="278"/>
      <c r="W48" s="278"/>
    </row>
    <row r="49" spans="1:27" ht="13.5" thickBot="1">
      <c r="I49" s="16" t="s">
        <v>449</v>
      </c>
      <c r="K49" s="244">
        <v>1600</v>
      </c>
      <c r="L49" s="244">
        <f>K49*148</f>
        <v>236800</v>
      </c>
      <c r="M49" s="244">
        <f>K49*180</f>
        <v>288000</v>
      </c>
      <c r="N49" s="278"/>
      <c r="O49" s="16" t="s">
        <v>506</v>
      </c>
      <c r="P49" s="269">
        <v>0.03</v>
      </c>
      <c r="Q49" s="244">
        <f>Q35*P49*('E-Inv AF y Am'!B20+'E-Inv AF y Am'!D20-'E-Inv AF y Am'!B50)</f>
        <v>7534.2576523760326</v>
      </c>
      <c r="R49" s="282" t="s">
        <v>482</v>
      </c>
      <c r="W49" s="278"/>
      <c r="X49" s="16" t="s">
        <v>506</v>
      </c>
      <c r="Y49" s="269">
        <v>0.03</v>
      </c>
      <c r="Z49" s="244">
        <f>AA35*Y49*('E-Inv AF y Am'!B20+'E-Inv AF y Am'!D20-'E-Inv AF y Am'!B50)</f>
        <v>7534.2576523760326</v>
      </c>
      <c r="AA49" s="16" t="s">
        <v>482</v>
      </c>
    </row>
    <row r="50" spans="1:27" ht="13.5" thickTop="1">
      <c r="A50" s="33"/>
      <c r="B50" s="18" t="s">
        <v>115</v>
      </c>
      <c r="C50" s="18"/>
      <c r="D50" s="18"/>
      <c r="E50" s="18"/>
      <c r="F50" s="19"/>
      <c r="I50" s="16" t="s">
        <v>450</v>
      </c>
      <c r="K50" s="244">
        <v>8000</v>
      </c>
      <c r="L50" s="244">
        <f t="shared" ref="L50:L75" si="12">K50*148</f>
        <v>1184000</v>
      </c>
      <c r="M50" s="244">
        <f t="shared" ref="M50:M75" si="13">K50*180</f>
        <v>1440000</v>
      </c>
      <c r="N50" s="278"/>
      <c r="O50" s="16" t="s">
        <v>507</v>
      </c>
      <c r="P50" s="280">
        <v>5.0000000000000001E-3</v>
      </c>
      <c r="Q50" s="244">
        <f>C43*P50</f>
        <v>43112.547174006941</v>
      </c>
      <c r="R50" s="16" t="s">
        <v>508</v>
      </c>
      <c r="W50" s="278"/>
      <c r="X50" s="16" t="s">
        <v>507</v>
      </c>
      <c r="Y50" s="280">
        <v>5.0000000000000001E-3</v>
      </c>
      <c r="Z50" s="244">
        <f>C43*Y50</f>
        <v>43112.547174006941</v>
      </c>
      <c r="AA50" s="16" t="s">
        <v>508</v>
      </c>
    </row>
    <row r="51" spans="1:27" ht="13.5" thickBot="1">
      <c r="A51" s="84" t="s">
        <v>84</v>
      </c>
      <c r="B51" s="21" t="s">
        <v>48</v>
      </c>
      <c r="C51" s="21" t="s">
        <v>85</v>
      </c>
      <c r="D51" s="21" t="s">
        <v>86</v>
      </c>
      <c r="E51" s="21" t="s">
        <v>87</v>
      </c>
      <c r="F51" s="22" t="s">
        <v>88</v>
      </c>
      <c r="I51" s="16" t="s">
        <v>451</v>
      </c>
      <c r="K51" s="244">
        <v>600</v>
      </c>
      <c r="L51" s="244">
        <f t="shared" si="12"/>
        <v>88800</v>
      </c>
      <c r="M51" s="244">
        <f t="shared" si="13"/>
        <v>108000</v>
      </c>
      <c r="N51" s="278"/>
      <c r="O51" s="16" t="s">
        <v>509</v>
      </c>
      <c r="P51" s="269">
        <v>0.03</v>
      </c>
      <c r="Q51" s="244">
        <f>P51*D52</f>
        <v>25650</v>
      </c>
      <c r="R51" s="16" t="s">
        <v>510</v>
      </c>
      <c r="W51" s="278"/>
      <c r="X51" s="16" t="s">
        <v>509</v>
      </c>
      <c r="Y51" s="269">
        <v>0.03</v>
      </c>
      <c r="Z51" s="244">
        <f>Y51*D69</f>
        <v>29700</v>
      </c>
      <c r="AA51" s="16" t="s">
        <v>510</v>
      </c>
    </row>
    <row r="52" spans="1:27" ht="13.5" thickTop="1">
      <c r="A52" s="241" t="s">
        <v>122</v>
      </c>
      <c r="B52" s="261">
        <f>P44</f>
        <v>812250</v>
      </c>
      <c r="C52" s="259">
        <f>P43</f>
        <v>855000</v>
      </c>
      <c r="D52" s="259">
        <f>C52</f>
        <v>855000</v>
      </c>
      <c r="E52" s="259">
        <f>C52</f>
        <v>855000</v>
      </c>
      <c r="F52" s="260">
        <f>C52</f>
        <v>855000</v>
      </c>
      <c r="I52" s="16" t="s">
        <v>452</v>
      </c>
      <c r="K52" s="244">
        <v>750</v>
      </c>
      <c r="L52" s="244">
        <f t="shared" si="12"/>
        <v>111000</v>
      </c>
      <c r="M52" s="244">
        <f t="shared" si="13"/>
        <v>135000</v>
      </c>
      <c r="N52" s="278"/>
      <c r="W52" s="278"/>
      <c r="X52" s="16" t="s">
        <v>518</v>
      </c>
      <c r="Y52" s="269">
        <v>0.01</v>
      </c>
      <c r="Z52" s="244">
        <f>C43*Y52</f>
        <v>86225.094348013881</v>
      </c>
      <c r="AA52" s="16" t="s">
        <v>519</v>
      </c>
    </row>
    <row r="53" spans="1:27">
      <c r="A53" s="27" t="s">
        <v>116</v>
      </c>
      <c r="B53" s="65">
        <f>0.05*('E-Inv AF y Am'!D56-'E-Inv AF y Am'!D50)</f>
        <v>27043.438430812559</v>
      </c>
      <c r="C53" s="65">
        <f>0.05*('E-Inv AF y Am'!D56-'E-Inv AF y Am'!D50)</f>
        <v>27043.438430812559</v>
      </c>
      <c r="D53" s="65">
        <f>0.05*('E-Inv AF y Am'!D56-'E-Inv AF y Am'!D50)</f>
        <v>27043.438430812559</v>
      </c>
      <c r="E53" s="65">
        <f>'E-Inv AF y Am'!E56*0.05</f>
        <v>27043.438430812559</v>
      </c>
      <c r="F53" s="45">
        <f>'E-Inv AF y Am'!E56*0.05</f>
        <v>27043.438430812559</v>
      </c>
      <c r="I53" s="16" t="s">
        <v>453</v>
      </c>
      <c r="K53" s="244">
        <v>350</v>
      </c>
      <c r="L53" s="244">
        <f t="shared" si="12"/>
        <v>51800</v>
      </c>
      <c r="M53" s="244">
        <f t="shared" si="13"/>
        <v>63000</v>
      </c>
      <c r="N53" s="278"/>
      <c r="W53" s="278"/>
    </row>
    <row r="54" spans="1:27">
      <c r="A54" s="27" t="s">
        <v>94</v>
      </c>
      <c r="B54" s="65">
        <f>P57</f>
        <v>68667.124343744668</v>
      </c>
      <c r="C54" s="65">
        <f>P56</f>
        <v>76296.80482638297</v>
      </c>
      <c r="D54" s="65">
        <f>C54</f>
        <v>76296.80482638297</v>
      </c>
      <c r="E54" s="65">
        <f>C54</f>
        <v>76296.80482638297</v>
      </c>
      <c r="F54" s="66">
        <f>C54</f>
        <v>76296.80482638297</v>
      </c>
      <c r="I54" s="16" t="s">
        <v>454</v>
      </c>
      <c r="K54" s="244">
        <v>4200</v>
      </c>
      <c r="L54" s="244">
        <f t="shared" si="12"/>
        <v>621600</v>
      </c>
      <c r="M54" s="244">
        <f t="shared" si="13"/>
        <v>756000</v>
      </c>
      <c r="N54" s="278"/>
      <c r="O54" s="16" t="s">
        <v>437</v>
      </c>
      <c r="P54" s="272">
        <v>0.9</v>
      </c>
      <c r="W54" s="278"/>
      <c r="X54" s="16" t="s">
        <v>437</v>
      </c>
      <c r="Y54" s="272">
        <v>0.9</v>
      </c>
    </row>
    <row r="55" spans="1:27">
      <c r="A55" s="27" t="s">
        <v>117</v>
      </c>
      <c r="B55" s="65">
        <f>P88*C55</f>
        <v>4366.0403999999999</v>
      </c>
      <c r="C55" s="65">
        <f>C13*Q35</f>
        <v>4595.8320000000003</v>
      </c>
      <c r="D55" s="65">
        <f t="shared" ref="D55:F55" si="14">D13*0.05</f>
        <v>4595.8320000000003</v>
      </c>
      <c r="E55" s="65">
        <f t="shared" si="14"/>
        <v>4595.8320000000003</v>
      </c>
      <c r="F55" s="66">
        <f t="shared" si="14"/>
        <v>4595.8320000000003</v>
      </c>
      <c r="I55" s="16" t="s">
        <v>455</v>
      </c>
      <c r="K55" s="244">
        <v>250</v>
      </c>
      <c r="L55" s="244">
        <f t="shared" si="12"/>
        <v>37000</v>
      </c>
      <c r="M55" s="244">
        <f t="shared" si="13"/>
        <v>45000</v>
      </c>
      <c r="N55" s="278"/>
      <c r="W55" s="278"/>
    </row>
    <row r="56" spans="1:27">
      <c r="A56" s="27" t="s">
        <v>118</v>
      </c>
      <c r="B56" s="65">
        <v>0</v>
      </c>
      <c r="C56" s="65">
        <v>0</v>
      </c>
      <c r="D56" s="65">
        <v>0</v>
      </c>
      <c r="E56" s="65">
        <v>0</v>
      </c>
      <c r="F56" s="66">
        <v>0</v>
      </c>
      <c r="I56" s="16" t="s">
        <v>456</v>
      </c>
      <c r="K56" s="244">
        <v>300</v>
      </c>
      <c r="L56" s="244">
        <f t="shared" si="12"/>
        <v>44400</v>
      </c>
      <c r="M56" s="244">
        <f t="shared" si="13"/>
        <v>54000</v>
      </c>
      <c r="N56" s="278"/>
      <c r="O56" s="16" t="s">
        <v>428</v>
      </c>
      <c r="P56" s="244">
        <f>SUM(Q49:Q51)</f>
        <v>76296.80482638297</v>
      </c>
      <c r="W56" s="278"/>
      <c r="X56" s="16" t="s">
        <v>428</v>
      </c>
      <c r="Y56" s="244">
        <f>SUM(Z49:Z52)</f>
        <v>166571.89917439685</v>
      </c>
    </row>
    <row r="57" spans="1:27">
      <c r="A57" s="27" t="s">
        <v>119</v>
      </c>
      <c r="B57" s="65">
        <v>0</v>
      </c>
      <c r="C57" s="65">
        <v>0</v>
      </c>
      <c r="D57" s="65">
        <v>0</v>
      </c>
      <c r="E57" s="65">
        <v>0</v>
      </c>
      <c r="F57" s="66">
        <v>0</v>
      </c>
      <c r="I57" s="16" t="s">
        <v>457</v>
      </c>
      <c r="K57" s="244">
        <v>250</v>
      </c>
      <c r="L57" s="244">
        <f t="shared" si="12"/>
        <v>37000</v>
      </c>
      <c r="M57" s="244">
        <f t="shared" si="13"/>
        <v>45000</v>
      </c>
      <c r="N57" s="278"/>
      <c r="O57" s="16" t="s">
        <v>48</v>
      </c>
      <c r="P57" s="244">
        <f>P56*P54</f>
        <v>68667.124343744668</v>
      </c>
      <c r="W57" s="278"/>
      <c r="X57" s="16" t="s">
        <v>48</v>
      </c>
      <c r="Y57" s="244">
        <f>Y56*Y54</f>
        <v>149914.70925695717</v>
      </c>
    </row>
    <row r="58" spans="1:27">
      <c r="A58" s="27" t="s">
        <v>97</v>
      </c>
      <c r="B58" s="65">
        <f>P102</f>
        <v>448069.60102499998</v>
      </c>
      <c r="C58" s="65">
        <f>P102</f>
        <v>448069.60102499998</v>
      </c>
      <c r="D58" s="65">
        <f>P102</f>
        <v>448069.60102499998</v>
      </c>
      <c r="E58" s="65">
        <f>P102</f>
        <v>448069.60102499998</v>
      </c>
      <c r="F58" s="66">
        <f>P102</f>
        <v>448069.60102499998</v>
      </c>
      <c r="I58" s="16" t="s">
        <v>458</v>
      </c>
      <c r="K58" s="244">
        <v>1600</v>
      </c>
      <c r="L58" s="244">
        <f t="shared" si="12"/>
        <v>236800</v>
      </c>
      <c r="M58" s="244">
        <f t="shared" si="13"/>
        <v>288000</v>
      </c>
      <c r="N58" s="278"/>
      <c r="W58" s="278"/>
    </row>
    <row r="59" spans="1:27">
      <c r="A59" s="27" t="s">
        <v>15</v>
      </c>
      <c r="B59" s="65">
        <f>0.09*SUM(B52:B58)</f>
        <v>122435.65837796015</v>
      </c>
      <c r="C59" s="65">
        <f t="shared" ref="C59:F59" si="15">0.09*SUM(C52:C58)</f>
        <v>126990.51086539761</v>
      </c>
      <c r="D59" s="65">
        <f t="shared" si="15"/>
        <v>126990.51086539761</v>
      </c>
      <c r="E59" s="65">
        <f t="shared" si="15"/>
        <v>126990.51086539761</v>
      </c>
      <c r="F59" s="66">
        <f t="shared" si="15"/>
        <v>126990.51086539761</v>
      </c>
      <c r="I59" s="16" t="s">
        <v>459</v>
      </c>
      <c r="K59" s="244">
        <v>800</v>
      </c>
      <c r="L59" s="244">
        <f t="shared" si="12"/>
        <v>118400</v>
      </c>
      <c r="M59" s="244">
        <f t="shared" si="13"/>
        <v>144000</v>
      </c>
      <c r="N59" s="278"/>
      <c r="W59" s="278"/>
    </row>
    <row r="60" spans="1:27">
      <c r="A60" s="27"/>
      <c r="B60" s="47"/>
      <c r="C60" s="47"/>
      <c r="D60" s="47"/>
      <c r="E60" s="47"/>
      <c r="F60" s="50"/>
      <c r="I60" s="16" t="s">
        <v>460</v>
      </c>
      <c r="K60" s="244">
        <v>200</v>
      </c>
      <c r="L60" s="244">
        <f t="shared" si="12"/>
        <v>29600</v>
      </c>
      <c r="M60" s="244">
        <f t="shared" si="13"/>
        <v>36000</v>
      </c>
      <c r="N60" s="278"/>
      <c r="W60" s="278"/>
    </row>
    <row r="61" spans="1:27">
      <c r="A61" s="25" t="s">
        <v>120</v>
      </c>
      <c r="B61" s="65">
        <f>SUM(B52:B59)</f>
        <v>1482831.8625775173</v>
      </c>
      <c r="C61" s="65">
        <f t="shared" ref="C61:F61" si="16">SUM(C52:C59)</f>
        <v>1537996.1871475931</v>
      </c>
      <c r="D61" s="65">
        <f t="shared" si="16"/>
        <v>1537996.1871475931</v>
      </c>
      <c r="E61" s="65">
        <f t="shared" si="16"/>
        <v>1537996.1871475931</v>
      </c>
      <c r="F61" s="66">
        <f t="shared" si="16"/>
        <v>1537996.1871475931</v>
      </c>
      <c r="I61" s="16" t="s">
        <v>461</v>
      </c>
      <c r="K61" s="244">
        <v>1400</v>
      </c>
      <c r="L61" s="244">
        <f t="shared" si="12"/>
        <v>207200</v>
      </c>
      <c r="M61" s="244">
        <f t="shared" si="13"/>
        <v>252000</v>
      </c>
      <c r="N61" s="278"/>
      <c r="W61" s="278"/>
    </row>
    <row r="62" spans="1:27">
      <c r="A62" s="25"/>
      <c r="B62" s="85"/>
      <c r="C62" s="85"/>
      <c r="D62" s="85"/>
      <c r="E62" s="85"/>
      <c r="F62" s="86"/>
      <c r="G62" s="77"/>
      <c r="I62" s="16" t="s">
        <v>462</v>
      </c>
      <c r="K62" s="244">
        <v>200</v>
      </c>
      <c r="L62" s="244">
        <f t="shared" si="12"/>
        <v>29600</v>
      </c>
      <c r="M62" s="244">
        <f t="shared" si="13"/>
        <v>36000</v>
      </c>
      <c r="N62" s="278"/>
      <c r="W62" s="278"/>
    </row>
    <row r="63" spans="1:27">
      <c r="A63" s="70" t="s">
        <v>99</v>
      </c>
      <c r="B63" s="87">
        <f>(B52+B54+B53+B55++B58+B59)/B61</f>
        <v>1</v>
      </c>
      <c r="C63" s="87">
        <f>(C52+C54+C53+C55+C58+C59)/C61</f>
        <v>1</v>
      </c>
      <c r="D63" s="87">
        <f>(D52+D54+D53+D55++D58+D59)/D61</f>
        <v>1</v>
      </c>
      <c r="E63" s="87">
        <f>(E52+E54+E53+E55+E58+E59)/E61</f>
        <v>1</v>
      </c>
      <c r="F63" s="88">
        <f>(F52+F54+F53+F55++F58+F59)/F61</f>
        <v>1</v>
      </c>
      <c r="G63" s="77"/>
      <c r="I63" s="16" t="s">
        <v>463</v>
      </c>
      <c r="K63" s="244">
        <v>700</v>
      </c>
      <c r="L63" s="244">
        <f t="shared" si="12"/>
        <v>103600</v>
      </c>
      <c r="M63" s="244">
        <f t="shared" si="13"/>
        <v>126000</v>
      </c>
      <c r="N63" s="278"/>
      <c r="W63" s="278"/>
    </row>
    <row r="64" spans="1:27" ht="13.5" thickBot="1">
      <c r="A64" s="35" t="s">
        <v>100</v>
      </c>
      <c r="B64" s="82">
        <f>1-B63</f>
        <v>0</v>
      </c>
      <c r="C64" s="82">
        <f t="shared" ref="C64:F64" si="17">1-C63</f>
        <v>0</v>
      </c>
      <c r="D64" s="82">
        <f t="shared" si="17"/>
        <v>0</v>
      </c>
      <c r="E64" s="82">
        <f t="shared" si="17"/>
        <v>0</v>
      </c>
      <c r="F64" s="83">
        <f t="shared" si="17"/>
        <v>0</v>
      </c>
      <c r="G64" s="77"/>
      <c r="I64" s="16" t="s">
        <v>464</v>
      </c>
      <c r="K64" s="244">
        <v>500</v>
      </c>
      <c r="L64" s="244">
        <f t="shared" si="12"/>
        <v>74000</v>
      </c>
      <c r="M64" s="244">
        <f t="shared" si="13"/>
        <v>90000</v>
      </c>
      <c r="N64" s="278"/>
      <c r="W64" s="278"/>
    </row>
    <row r="65" spans="1:23" ht="13.5" thickTop="1">
      <c r="I65" s="16" t="s">
        <v>465</v>
      </c>
      <c r="K65" s="244">
        <v>250</v>
      </c>
      <c r="L65" s="244">
        <f t="shared" si="12"/>
        <v>37000</v>
      </c>
      <c r="M65" s="244">
        <f t="shared" si="13"/>
        <v>45000</v>
      </c>
      <c r="N65" s="278"/>
      <c r="W65" s="278"/>
    </row>
    <row r="66" spans="1:23" ht="13.5" thickBot="1">
      <c r="I66" s="16" t="s">
        <v>466</v>
      </c>
      <c r="K66" s="244">
        <v>75</v>
      </c>
      <c r="L66" s="244">
        <f t="shared" si="12"/>
        <v>11100</v>
      </c>
      <c r="M66" s="244">
        <f t="shared" si="13"/>
        <v>13500</v>
      </c>
      <c r="N66" s="278"/>
      <c r="W66" s="278"/>
    </row>
    <row r="67" spans="1:23" ht="13.5" thickTop="1">
      <c r="A67" s="33"/>
      <c r="B67" s="18" t="s">
        <v>121</v>
      </c>
      <c r="C67" s="18"/>
      <c r="D67" s="18"/>
      <c r="E67" s="18"/>
      <c r="F67" s="19"/>
      <c r="I67" s="16" t="s">
        <v>467</v>
      </c>
      <c r="K67" s="244">
        <v>250</v>
      </c>
      <c r="L67" s="244">
        <f t="shared" si="12"/>
        <v>37000</v>
      </c>
      <c r="M67" s="244">
        <f t="shared" si="13"/>
        <v>45000</v>
      </c>
      <c r="N67" s="278"/>
      <c r="W67" s="278"/>
    </row>
    <row r="68" spans="1:23" ht="13.5" thickBot="1">
      <c r="A68" s="84" t="s">
        <v>84</v>
      </c>
      <c r="B68" s="21" t="s">
        <v>48</v>
      </c>
      <c r="C68" s="21" t="s">
        <v>85</v>
      </c>
      <c r="D68" s="21" t="s">
        <v>86</v>
      </c>
      <c r="E68" s="21" t="s">
        <v>87</v>
      </c>
      <c r="F68" s="22" t="s">
        <v>88</v>
      </c>
      <c r="I68" s="16" t="s">
        <v>468</v>
      </c>
      <c r="K68" s="244">
        <v>25</v>
      </c>
      <c r="L68" s="244">
        <f t="shared" si="12"/>
        <v>3700</v>
      </c>
      <c r="M68" s="244">
        <f t="shared" si="13"/>
        <v>4500</v>
      </c>
      <c r="N68" s="278"/>
      <c r="W68" s="278"/>
    </row>
    <row r="69" spans="1:23" ht="13.5" thickTop="1">
      <c r="A69" s="73" t="s">
        <v>122</v>
      </c>
      <c r="B69" s="285">
        <f>Y45</f>
        <v>940500</v>
      </c>
      <c r="C69" s="159">
        <f>Y44</f>
        <v>990000</v>
      </c>
      <c r="D69" s="290">
        <f>Y44</f>
        <v>990000</v>
      </c>
      <c r="E69" s="159">
        <f>Y44</f>
        <v>990000</v>
      </c>
      <c r="F69" s="296">
        <f>Y44</f>
        <v>990000</v>
      </c>
      <c r="I69" s="16" t="s">
        <v>469</v>
      </c>
      <c r="K69" s="244">
        <v>150</v>
      </c>
      <c r="L69" s="244">
        <f t="shared" si="12"/>
        <v>22200</v>
      </c>
      <c r="M69" s="244">
        <f t="shared" si="13"/>
        <v>27000</v>
      </c>
      <c r="N69" s="278"/>
      <c r="W69" s="278"/>
    </row>
    <row r="70" spans="1:23">
      <c r="A70" s="27" t="s">
        <v>116</v>
      </c>
      <c r="B70" s="113">
        <f>B53</f>
        <v>27043.438430812559</v>
      </c>
      <c r="C70" s="65">
        <f t="shared" ref="C70:F70" si="18">C53</f>
        <v>27043.438430812559</v>
      </c>
      <c r="D70" s="291">
        <f t="shared" si="18"/>
        <v>27043.438430812559</v>
      </c>
      <c r="E70" s="65">
        <f t="shared" si="18"/>
        <v>27043.438430812559</v>
      </c>
      <c r="F70" s="297">
        <f t="shared" si="18"/>
        <v>27043.438430812559</v>
      </c>
      <c r="I70" s="16" t="s">
        <v>470</v>
      </c>
      <c r="K70" s="244">
        <v>100</v>
      </c>
      <c r="L70" s="244">
        <f t="shared" si="12"/>
        <v>14800</v>
      </c>
      <c r="M70" s="244">
        <f t="shared" si="13"/>
        <v>18000</v>
      </c>
      <c r="N70" s="278"/>
      <c r="W70" s="278"/>
    </row>
    <row r="71" spans="1:23">
      <c r="A71" s="27" t="s">
        <v>94</v>
      </c>
      <c r="B71" s="113">
        <f>Y57</f>
        <v>149914.70925695717</v>
      </c>
      <c r="C71" s="65">
        <f>Y56</f>
        <v>166571.89917439685</v>
      </c>
      <c r="D71" s="291">
        <f>Y56</f>
        <v>166571.89917439685</v>
      </c>
      <c r="E71" s="65">
        <f>Y56</f>
        <v>166571.89917439685</v>
      </c>
      <c r="F71" s="297">
        <f>Y56</f>
        <v>166571.89917439685</v>
      </c>
      <c r="I71" s="16" t="s">
        <v>471</v>
      </c>
      <c r="K71" s="244">
        <v>200</v>
      </c>
      <c r="L71" s="244">
        <f t="shared" si="12"/>
        <v>29600</v>
      </c>
      <c r="M71" s="244">
        <f t="shared" si="13"/>
        <v>36000</v>
      </c>
      <c r="N71" s="278"/>
      <c r="W71" s="278"/>
    </row>
    <row r="72" spans="1:23">
      <c r="A72" s="27" t="s">
        <v>123</v>
      </c>
      <c r="B72" s="113">
        <f>B55</f>
        <v>4366.0403999999999</v>
      </c>
      <c r="C72" s="65">
        <f t="shared" ref="C72:F72" si="19">C55</f>
        <v>4595.8320000000003</v>
      </c>
      <c r="D72" s="291">
        <f t="shared" si="19"/>
        <v>4595.8320000000003</v>
      </c>
      <c r="E72" s="65">
        <f t="shared" si="19"/>
        <v>4595.8320000000003</v>
      </c>
      <c r="F72" s="297">
        <f t="shared" si="19"/>
        <v>4595.8320000000003</v>
      </c>
      <c r="I72" s="16" t="s">
        <v>472</v>
      </c>
      <c r="K72" s="244">
        <v>250</v>
      </c>
      <c r="L72" s="244">
        <f t="shared" si="12"/>
        <v>37000</v>
      </c>
      <c r="M72" s="244">
        <f t="shared" si="13"/>
        <v>45000</v>
      </c>
      <c r="N72" s="278"/>
      <c r="W72" s="278"/>
    </row>
    <row r="73" spans="1:23">
      <c r="A73" s="27" t="s">
        <v>118</v>
      </c>
      <c r="B73" s="113">
        <v>0</v>
      </c>
      <c r="C73" s="65">
        <v>0</v>
      </c>
      <c r="D73" s="291">
        <v>0</v>
      </c>
      <c r="E73" s="65">
        <v>0</v>
      </c>
      <c r="F73" s="297">
        <v>0</v>
      </c>
      <c r="I73" s="16" t="s">
        <v>473</v>
      </c>
      <c r="K73" s="244">
        <v>300</v>
      </c>
      <c r="L73" s="244">
        <f t="shared" si="12"/>
        <v>44400</v>
      </c>
      <c r="M73" s="244">
        <f t="shared" si="13"/>
        <v>54000</v>
      </c>
      <c r="N73" s="278"/>
      <c r="W73" s="278"/>
    </row>
    <row r="74" spans="1:23">
      <c r="A74" s="27" t="s">
        <v>119</v>
      </c>
      <c r="B74" s="113">
        <v>0</v>
      </c>
      <c r="C74" s="65">
        <v>0</v>
      </c>
      <c r="D74" s="291">
        <v>0</v>
      </c>
      <c r="E74" s="65">
        <v>0</v>
      </c>
      <c r="F74" s="297">
        <v>0</v>
      </c>
      <c r="I74" s="16" t="s">
        <v>474</v>
      </c>
      <c r="K74" s="244">
        <v>150</v>
      </c>
      <c r="L74" s="244">
        <f t="shared" si="12"/>
        <v>22200</v>
      </c>
      <c r="M74" s="244">
        <f t="shared" si="13"/>
        <v>27000</v>
      </c>
      <c r="N74" s="278"/>
      <c r="W74" s="278"/>
    </row>
    <row r="75" spans="1:23">
      <c r="A75" s="27" t="s">
        <v>97</v>
      </c>
      <c r="B75" s="113">
        <f>Y102</f>
        <v>793669.60102499998</v>
      </c>
      <c r="C75" s="65">
        <f t="shared" ref="C75:F75" si="20">$Y$101</f>
        <v>991669.60102499998</v>
      </c>
      <c r="D75" s="291">
        <f t="shared" si="20"/>
        <v>991669.60102499998</v>
      </c>
      <c r="E75" s="65">
        <f t="shared" si="20"/>
        <v>991669.60102499998</v>
      </c>
      <c r="F75" s="297">
        <f t="shared" si="20"/>
        <v>991669.60102499998</v>
      </c>
      <c r="I75" s="16" t="s">
        <v>475</v>
      </c>
      <c r="K75" s="244">
        <v>100</v>
      </c>
      <c r="L75" s="244">
        <f t="shared" si="12"/>
        <v>14800</v>
      </c>
      <c r="M75" s="244">
        <f t="shared" si="13"/>
        <v>18000</v>
      </c>
      <c r="N75" s="278"/>
      <c r="W75" s="278"/>
    </row>
    <row r="76" spans="1:23">
      <c r="A76" s="27" t="s">
        <v>15</v>
      </c>
      <c r="B76" s="113">
        <f>0.09*SUM(B69:B75)</f>
        <v>172394.44102014927</v>
      </c>
      <c r="C76" s="65">
        <f>0.09*SUM(C69:C75)</f>
        <v>196189.26935671881</v>
      </c>
      <c r="D76" s="291">
        <f>0.09*SUM(D69:D75)</f>
        <v>196189.26935671881</v>
      </c>
      <c r="E76" s="65">
        <f>0.09*SUM(E69:E75)</f>
        <v>196189.26935671881</v>
      </c>
      <c r="F76" s="297">
        <f>0.09*SUM(F69:F75)</f>
        <v>196189.26935671881</v>
      </c>
      <c r="I76" s="16" t="s">
        <v>480</v>
      </c>
      <c r="K76" s="244">
        <f>SUM(K49:K75)</f>
        <v>23550</v>
      </c>
      <c r="L76" s="244">
        <f t="shared" ref="L76:M76" si="21">SUM(L49:L75)</f>
        <v>3485400</v>
      </c>
      <c r="M76" s="244">
        <f t="shared" si="21"/>
        <v>4239000</v>
      </c>
      <c r="N76" s="278"/>
      <c r="W76" s="278"/>
    </row>
    <row r="77" spans="1:23">
      <c r="A77" s="27"/>
      <c r="B77" s="286"/>
      <c r="C77" s="47"/>
      <c r="D77" s="292"/>
      <c r="E77" s="47"/>
      <c r="F77" s="298"/>
      <c r="W77" s="278"/>
    </row>
    <row r="78" spans="1:23">
      <c r="A78" s="25" t="s">
        <v>124</v>
      </c>
      <c r="B78" s="262">
        <f>SUM(B69:B76)</f>
        <v>2087888.230132919</v>
      </c>
      <c r="C78" s="289">
        <f t="shared" ref="C78:F78" si="22">SUM(C69:C76)</f>
        <v>2376070.039986928</v>
      </c>
      <c r="D78" s="263">
        <f t="shared" si="22"/>
        <v>2376070.039986928</v>
      </c>
      <c r="E78" s="289">
        <f t="shared" si="22"/>
        <v>2376070.039986928</v>
      </c>
      <c r="F78" s="264">
        <f t="shared" si="22"/>
        <v>2376070.039986928</v>
      </c>
      <c r="I78" s="16" t="s">
        <v>481</v>
      </c>
      <c r="J78" s="269">
        <v>0.03</v>
      </c>
      <c r="K78" s="16" t="s">
        <v>482</v>
      </c>
      <c r="W78" s="278"/>
    </row>
    <row r="79" spans="1:23">
      <c r="A79" s="25"/>
      <c r="B79" s="114"/>
      <c r="C79" s="85"/>
      <c r="D79" s="293"/>
      <c r="E79" s="85"/>
      <c r="F79" s="299"/>
      <c r="I79" s="244">
        <f>J4*J78*('E-Inv AF y Am'!B20+'E-Inv AF y Am'!D20-'E-Inv AF y Am'!B50)</f>
        <v>135616.63774276859</v>
      </c>
      <c r="W79" s="278"/>
    </row>
    <row r="80" spans="1:23">
      <c r="A80" s="70" t="s">
        <v>99</v>
      </c>
      <c r="B80" s="287">
        <f>28800000*0.0275/B78</f>
        <v>0.3793306502568769</v>
      </c>
      <c r="C80" s="87">
        <f>36000000*0.0275/C78</f>
        <v>0.41665438448331538</v>
      </c>
      <c r="D80" s="294">
        <f t="shared" ref="D80:F80" si="23">36000000*0.0275/D78</f>
        <v>0.41665438448331538</v>
      </c>
      <c r="E80" s="87">
        <f t="shared" si="23"/>
        <v>0.41665438448331538</v>
      </c>
      <c r="F80" s="300">
        <f t="shared" si="23"/>
        <v>0.41665438448331538</v>
      </c>
      <c r="I80" s="244"/>
      <c r="W80" s="278"/>
    </row>
    <row r="81" spans="1:26" ht="13.5" thickBot="1">
      <c r="A81" s="35" t="s">
        <v>100</v>
      </c>
      <c r="B81" s="288">
        <f>1-B80</f>
        <v>0.62066934974312304</v>
      </c>
      <c r="C81" s="82">
        <f t="shared" ref="C81:F81" si="24">1-C80</f>
        <v>0.58334561551668462</v>
      </c>
      <c r="D81" s="295">
        <f t="shared" si="24"/>
        <v>0.58334561551668462</v>
      </c>
      <c r="E81" s="82">
        <f t="shared" si="24"/>
        <v>0.58334561551668462</v>
      </c>
      <c r="F81" s="301">
        <f t="shared" si="24"/>
        <v>0.58334561551668462</v>
      </c>
      <c r="I81" s="16" t="s">
        <v>483</v>
      </c>
      <c r="J81" s="269">
        <v>0.03</v>
      </c>
      <c r="W81" s="278"/>
    </row>
    <row r="82" spans="1:26" ht="13.5" thickTop="1">
      <c r="H82" s="276"/>
      <c r="I82" s="244">
        <f>J81*(C11+C8)</f>
        <v>60255</v>
      </c>
      <c r="W82" s="278"/>
    </row>
    <row r="83" spans="1:26">
      <c r="W83" s="278"/>
    </row>
    <row r="84" spans="1:26" ht="16.5" thickTop="1">
      <c r="A84" s="89" t="s">
        <v>125</v>
      </c>
      <c r="B84" s="90"/>
      <c r="C84" s="90"/>
      <c r="D84" s="90"/>
      <c r="E84" s="90"/>
      <c r="F84" s="91"/>
      <c r="I84" s="16" t="s">
        <v>485</v>
      </c>
      <c r="J84" s="16" t="s">
        <v>430</v>
      </c>
      <c r="K84" s="16" t="s">
        <v>429</v>
      </c>
      <c r="W84" s="278"/>
    </row>
    <row r="85" spans="1:26" ht="13.5" thickBot="1">
      <c r="A85" s="27"/>
      <c r="B85" s="283" t="s">
        <v>48</v>
      </c>
      <c r="C85" s="283" t="s">
        <v>85</v>
      </c>
      <c r="D85" s="283" t="s">
        <v>86</v>
      </c>
      <c r="E85" s="283" t="s">
        <v>87</v>
      </c>
      <c r="F85" s="284" t="s">
        <v>88</v>
      </c>
      <c r="J85" s="244">
        <f>SUM(I82+I79+L76)</f>
        <v>3681271.6377427685</v>
      </c>
      <c r="K85" s="244">
        <f>SUM(I82+I79+M76)</f>
        <v>4434871.637742769</v>
      </c>
      <c r="W85" s="278"/>
    </row>
    <row r="86" spans="1:26" ht="13.5" thickTop="1">
      <c r="A86" s="27" t="s">
        <v>126</v>
      </c>
      <c r="B86" s="308">
        <v>144</v>
      </c>
      <c r="C86" s="308">
        <v>180</v>
      </c>
      <c r="D86" s="308">
        <v>180</v>
      </c>
      <c r="E86" s="308">
        <v>180</v>
      </c>
      <c r="F86" s="309">
        <v>180</v>
      </c>
      <c r="W86" s="278"/>
    </row>
    <row r="87" spans="1:26">
      <c r="A87" s="27" t="s">
        <v>127</v>
      </c>
      <c r="B87" s="65">
        <v>200000</v>
      </c>
      <c r="C87" s="65">
        <v>200000</v>
      </c>
      <c r="D87" s="65">
        <v>200000</v>
      </c>
      <c r="E87" s="65">
        <v>200000</v>
      </c>
      <c r="F87" s="66">
        <v>200000</v>
      </c>
      <c r="I87" s="275" t="s">
        <v>486</v>
      </c>
      <c r="N87" s="278"/>
      <c r="O87" s="275" t="s">
        <v>486</v>
      </c>
      <c r="W87" s="278"/>
    </row>
    <row r="88" spans="1:26">
      <c r="A88" s="25" t="s">
        <v>128</v>
      </c>
      <c r="B88" s="65">
        <f>B86*B87</f>
        <v>28800000</v>
      </c>
      <c r="C88" s="65">
        <f t="shared" ref="C88:F88" si="25">C86*C87</f>
        <v>36000000</v>
      </c>
      <c r="D88" s="65">
        <f t="shared" si="25"/>
        <v>36000000</v>
      </c>
      <c r="E88" s="65">
        <f t="shared" si="25"/>
        <v>36000000</v>
      </c>
      <c r="F88" s="66">
        <f t="shared" si="25"/>
        <v>36000000</v>
      </c>
      <c r="I88" s="16" t="s">
        <v>488</v>
      </c>
      <c r="N88" s="278"/>
      <c r="O88" s="16" t="s">
        <v>437</v>
      </c>
      <c r="P88" s="272">
        <v>0.95</v>
      </c>
      <c r="W88" s="278"/>
    </row>
    <row r="89" spans="1:26">
      <c r="A89" s="27"/>
      <c r="B89" s="85"/>
      <c r="C89" s="85"/>
      <c r="D89" s="85"/>
      <c r="E89" s="85"/>
      <c r="F89" s="86"/>
      <c r="I89" s="16" t="s">
        <v>429</v>
      </c>
      <c r="J89" s="16">
        <v>26038.959999999999</v>
      </c>
      <c r="K89" s="16" t="s">
        <v>487</v>
      </c>
      <c r="N89" s="278"/>
      <c r="W89" s="278"/>
    </row>
    <row r="90" spans="1:26">
      <c r="A90" s="27" t="s">
        <v>129</v>
      </c>
      <c r="B90" s="65">
        <f>B7</f>
        <v>711257.5</v>
      </c>
      <c r="C90" s="65">
        <f t="shared" ref="C90:F90" si="26">C7</f>
        <v>865028.5</v>
      </c>
      <c r="D90" s="65">
        <f t="shared" si="26"/>
        <v>865028.5</v>
      </c>
      <c r="E90" s="65">
        <f t="shared" si="26"/>
        <v>865028.5</v>
      </c>
      <c r="F90" s="66">
        <f t="shared" si="26"/>
        <v>865028.5</v>
      </c>
      <c r="H90" s="269">
        <v>0.8</v>
      </c>
      <c r="I90" s="16" t="s">
        <v>430</v>
      </c>
      <c r="J90" s="16">
        <f>H90*J89</f>
        <v>20831.168000000001</v>
      </c>
      <c r="K90" s="16" t="s">
        <v>487</v>
      </c>
      <c r="N90" s="278"/>
      <c r="W90" s="278"/>
    </row>
    <row r="91" spans="1:26">
      <c r="A91" s="27" t="s">
        <v>90</v>
      </c>
      <c r="B91" s="65">
        <f>B8</f>
        <v>889200</v>
      </c>
      <c r="C91" s="65">
        <f t="shared" ref="C91:F91" si="27">C8</f>
        <v>936000</v>
      </c>
      <c r="D91" s="65">
        <f t="shared" si="27"/>
        <v>936000</v>
      </c>
      <c r="E91" s="65">
        <f t="shared" si="27"/>
        <v>936000</v>
      </c>
      <c r="F91" s="66">
        <f t="shared" si="27"/>
        <v>936000</v>
      </c>
      <c r="I91" s="16" t="s">
        <v>495</v>
      </c>
      <c r="N91" s="278"/>
      <c r="W91" s="278"/>
    </row>
    <row r="92" spans="1:26">
      <c r="A92" s="27" t="s">
        <v>130</v>
      </c>
      <c r="B92" s="65">
        <f>SUM(B10:B16)</f>
        <v>5931757.8260971596</v>
      </c>
      <c r="C92" s="65">
        <f t="shared" ref="C92:F92" si="28">SUM(C10:C16)</f>
        <v>6820534.3520971602</v>
      </c>
      <c r="D92" s="65">
        <f t="shared" si="28"/>
        <v>6820534.3520971602</v>
      </c>
      <c r="E92" s="65">
        <f t="shared" si="28"/>
        <v>6832306.3520971602</v>
      </c>
      <c r="F92" s="66">
        <f t="shared" si="28"/>
        <v>6832306.3520971602</v>
      </c>
      <c r="I92" s="16" t="s">
        <v>429</v>
      </c>
      <c r="J92" s="16">
        <f>J89*0.96</f>
        <v>24997.401599999997</v>
      </c>
      <c r="K92" s="16" t="s">
        <v>487</v>
      </c>
      <c r="N92" s="278"/>
      <c r="W92" s="278"/>
    </row>
    <row r="93" spans="1:26">
      <c r="A93" s="27"/>
      <c r="B93" s="85"/>
      <c r="C93" s="85"/>
      <c r="D93" s="85"/>
      <c r="E93" s="85"/>
      <c r="F93" s="86"/>
      <c r="I93" s="16" t="s">
        <v>430</v>
      </c>
      <c r="J93" s="16">
        <f>J90*0.96</f>
        <v>19997.921280000002</v>
      </c>
      <c r="K93" s="16" t="s">
        <v>487</v>
      </c>
      <c r="N93" s="278"/>
      <c r="W93" s="278"/>
    </row>
    <row r="94" spans="1:26">
      <c r="A94" s="27" t="s">
        <v>131</v>
      </c>
      <c r="B94" s="302">
        <f>B17</f>
        <v>7532215.3260971596</v>
      </c>
      <c r="C94" s="302">
        <f t="shared" ref="C94:F94" si="29">C17</f>
        <v>8621562.8520971593</v>
      </c>
      <c r="D94" s="302">
        <f t="shared" si="29"/>
        <v>8621562.8520971593</v>
      </c>
      <c r="E94" s="302">
        <f t="shared" si="29"/>
        <v>8633334.8520971593</v>
      </c>
      <c r="F94" s="310">
        <f t="shared" si="29"/>
        <v>8633334.8520971593</v>
      </c>
      <c r="N94" s="278"/>
      <c r="W94" s="278"/>
    </row>
    <row r="95" spans="1:26">
      <c r="A95" s="27"/>
      <c r="B95" s="85"/>
      <c r="C95" s="85"/>
      <c r="D95" s="85"/>
      <c r="E95" s="85"/>
      <c r="F95" s="86"/>
      <c r="I95" s="16" t="s">
        <v>489</v>
      </c>
      <c r="J95" s="16" t="s">
        <v>48</v>
      </c>
      <c r="K95" s="16" t="s">
        <v>428</v>
      </c>
      <c r="N95" s="278"/>
      <c r="W95" s="278"/>
    </row>
    <row r="96" spans="1:26">
      <c r="A96" s="27" t="s">
        <v>110</v>
      </c>
      <c r="B96" s="85"/>
      <c r="C96" s="85"/>
      <c r="D96" s="85"/>
      <c r="E96" s="85"/>
      <c r="F96" s="86"/>
      <c r="I96" s="16" t="s">
        <v>447</v>
      </c>
      <c r="J96" s="244">
        <v>6859.27</v>
      </c>
      <c r="K96" s="244">
        <v>7659.72</v>
      </c>
      <c r="N96" s="278"/>
      <c r="W96" s="278"/>
      <c r="Y96" s="16" t="s">
        <v>522</v>
      </c>
      <c r="Z96" s="16">
        <v>28800000</v>
      </c>
    </row>
    <row r="97" spans="1:26">
      <c r="A97" s="29" t="s">
        <v>103</v>
      </c>
      <c r="B97" s="65">
        <f>B41</f>
        <v>-218197.01986755576</v>
      </c>
      <c r="C97" s="65"/>
      <c r="D97" s="65"/>
      <c r="E97" s="65"/>
      <c r="F97" s="66"/>
      <c r="I97" s="16" t="s">
        <v>448</v>
      </c>
      <c r="J97" s="244">
        <f>J96*12</f>
        <v>82311.240000000005</v>
      </c>
      <c r="K97" s="244">
        <f>K96*12</f>
        <v>91916.64</v>
      </c>
      <c r="N97" s="278"/>
      <c r="P97" s="16" t="s">
        <v>521</v>
      </c>
      <c r="Q97" s="16">
        <v>36000000</v>
      </c>
      <c r="W97" s="278"/>
      <c r="Y97" s="16" t="s">
        <v>521</v>
      </c>
      <c r="Z97" s="16">
        <v>36000000</v>
      </c>
    </row>
    <row r="98" spans="1:26">
      <c r="A98" s="29" t="s">
        <v>112</v>
      </c>
      <c r="B98" s="65">
        <f>B42</f>
        <v>-31110.776966320547</v>
      </c>
      <c r="C98" s="65">
        <f t="shared" ref="C98:F98" si="30">C42</f>
        <v>946.58270422945498</v>
      </c>
      <c r="D98" s="65">
        <f t="shared" si="30"/>
        <v>0</v>
      </c>
      <c r="E98" s="65">
        <f t="shared" si="30"/>
        <v>-34.047722342729685</v>
      </c>
      <c r="F98" s="66">
        <f t="shared" si="30"/>
        <v>0</v>
      </c>
      <c r="N98" s="278"/>
      <c r="O98" s="16" t="s">
        <v>97</v>
      </c>
      <c r="W98" s="278"/>
      <c r="X98" s="16" t="s">
        <v>97</v>
      </c>
    </row>
    <row r="99" spans="1:26">
      <c r="A99" s="27"/>
      <c r="B99" s="85"/>
      <c r="C99" s="85"/>
      <c r="D99" s="85"/>
      <c r="E99" s="85"/>
      <c r="F99" s="86"/>
      <c r="I99" s="275" t="s">
        <v>490</v>
      </c>
      <c r="K99" s="16" t="s">
        <v>493</v>
      </c>
      <c r="N99" s="278"/>
      <c r="O99" s="16" t="s">
        <v>512</v>
      </c>
      <c r="P99" s="281">
        <v>4.0000000000000002E-4</v>
      </c>
      <c r="Q99" s="16" t="s">
        <v>511</v>
      </c>
      <c r="W99" s="278"/>
      <c r="X99" s="16" t="s">
        <v>520</v>
      </c>
      <c r="Y99" s="281">
        <v>2.75E-2</v>
      </c>
      <c r="Z99" s="16" t="s">
        <v>511</v>
      </c>
    </row>
    <row r="100" spans="1:26">
      <c r="A100" s="25" t="s">
        <v>132</v>
      </c>
      <c r="B100" s="65">
        <f>B43</f>
        <v>7282907.5292632831</v>
      </c>
      <c r="C100" s="65">
        <f t="shared" ref="C100:F100" si="31">C43</f>
        <v>8622509.4348013885</v>
      </c>
      <c r="D100" s="65">
        <f t="shared" si="31"/>
        <v>8621562.8520971593</v>
      </c>
      <c r="E100" s="65">
        <f t="shared" si="31"/>
        <v>8633300.8043748159</v>
      </c>
      <c r="F100" s="66">
        <f t="shared" si="31"/>
        <v>8633334.8520971593</v>
      </c>
      <c r="I100" s="16" t="s">
        <v>492</v>
      </c>
      <c r="J100" s="16">
        <v>4.4000000000000004</v>
      </c>
      <c r="K100" s="244">
        <f>J100*InfoInicial!B27*12</f>
        <v>11175.12</v>
      </c>
      <c r="N100" s="278"/>
      <c r="O100" s="16" t="s">
        <v>514</v>
      </c>
      <c r="P100" s="281">
        <v>1.2E-2</v>
      </c>
      <c r="Q100" s="16" t="s">
        <v>513</v>
      </c>
      <c r="W100" s="278"/>
      <c r="X100" s="16" t="s">
        <v>515</v>
      </c>
      <c r="Y100" s="269">
        <v>0.05</v>
      </c>
    </row>
    <row r="101" spans="1:26">
      <c r="A101" s="29" t="s">
        <v>133</v>
      </c>
      <c r="B101" s="303">
        <v>148</v>
      </c>
      <c r="C101" s="303">
        <v>180</v>
      </c>
      <c r="D101" s="303">
        <v>180</v>
      </c>
      <c r="E101" s="303">
        <v>180</v>
      </c>
      <c r="F101" s="304">
        <v>180</v>
      </c>
      <c r="I101" s="16" t="s">
        <v>491</v>
      </c>
      <c r="J101" s="269">
        <v>0.01</v>
      </c>
      <c r="K101" s="244">
        <f>J101*'E-Inv AF y Am'!B8</f>
        <v>25927.125</v>
      </c>
      <c r="N101" s="278"/>
      <c r="O101" s="16" t="s">
        <v>515</v>
      </c>
      <c r="P101" s="269">
        <v>0.05</v>
      </c>
      <c r="W101" s="278"/>
      <c r="X101" s="16" t="s">
        <v>485</v>
      </c>
      <c r="Y101" s="244">
        <f>Y100*B15+Y99*Z97</f>
        <v>991669.60102499998</v>
      </c>
      <c r="Z101" s="16" t="s">
        <v>429</v>
      </c>
    </row>
    <row r="102" spans="1:26">
      <c r="A102" s="27" t="s">
        <v>134</v>
      </c>
      <c r="B102" s="65">
        <f>B44</f>
        <v>49208.834657184343</v>
      </c>
      <c r="C102" s="65">
        <f t="shared" ref="C102:F102" si="32">C44</f>
        <v>47902.830193341048</v>
      </c>
      <c r="D102" s="65">
        <f t="shared" si="32"/>
        <v>47897.571400539775</v>
      </c>
      <c r="E102" s="65">
        <f t="shared" si="32"/>
        <v>47962.782246526753</v>
      </c>
      <c r="F102" s="66">
        <f t="shared" si="32"/>
        <v>47962.971400539776</v>
      </c>
      <c r="N102" s="278"/>
      <c r="O102" s="16" t="s">
        <v>485</v>
      </c>
      <c r="P102" s="244">
        <f>Q97*P99+Q97*P100+P101*C15</f>
        <v>448069.60102499998</v>
      </c>
      <c r="Q102" s="16" t="s">
        <v>484</v>
      </c>
      <c r="W102" s="278"/>
      <c r="Y102" s="263">
        <f>Y100*B15+Y99*Z96</f>
        <v>793669.60102499998</v>
      </c>
      <c r="Z102" s="16" t="s">
        <v>430</v>
      </c>
    </row>
    <row r="103" spans="1:26">
      <c r="A103" s="27"/>
      <c r="B103" s="96"/>
      <c r="C103" s="96"/>
      <c r="D103" s="96"/>
      <c r="E103" s="96"/>
      <c r="F103" s="97"/>
      <c r="J103" s="16" t="s">
        <v>485</v>
      </c>
      <c r="K103" s="243">
        <f>SUM(K100+K101)</f>
        <v>37102.245000000003</v>
      </c>
      <c r="N103" s="278"/>
      <c r="W103" s="278"/>
    </row>
    <row r="104" spans="1:26">
      <c r="A104" s="27" t="s">
        <v>110</v>
      </c>
      <c r="B104" s="96"/>
      <c r="C104" s="96"/>
      <c r="D104" s="96"/>
      <c r="E104" s="96"/>
      <c r="F104" s="97"/>
      <c r="J104" s="16" t="s">
        <v>494</v>
      </c>
      <c r="K104" s="243">
        <f>K103*J4</f>
        <v>33392.020500000006</v>
      </c>
      <c r="N104" s="278"/>
      <c r="W104" s="278"/>
    </row>
    <row r="105" spans="1:26">
      <c r="A105" s="27" t="s">
        <v>135</v>
      </c>
      <c r="B105" s="65">
        <f>-3*B102</f>
        <v>-147626.50397155303</v>
      </c>
      <c r="C105" s="65">
        <v>0</v>
      </c>
      <c r="D105" s="65">
        <v>0</v>
      </c>
      <c r="E105" s="65">
        <v>0</v>
      </c>
      <c r="F105" s="66">
        <v>0</v>
      </c>
    </row>
    <row r="106" spans="1:26">
      <c r="A106" s="27"/>
      <c r="B106" s="96"/>
      <c r="C106" s="96"/>
      <c r="D106" s="96"/>
      <c r="E106" s="96"/>
      <c r="F106" s="97"/>
    </row>
    <row r="107" spans="1:26">
      <c r="A107" s="25" t="s">
        <v>136</v>
      </c>
      <c r="B107" s="65">
        <f>B100+B105</f>
        <v>7135281.0252917297</v>
      </c>
      <c r="C107" s="65">
        <f t="shared" ref="C107:F107" si="33">C100+C105</f>
        <v>8622509.4348013885</v>
      </c>
      <c r="D107" s="65">
        <f t="shared" si="33"/>
        <v>8621562.8520971593</v>
      </c>
      <c r="E107" s="65">
        <f t="shared" si="33"/>
        <v>8633300.8043748159</v>
      </c>
      <c r="F107" s="66">
        <f t="shared" si="33"/>
        <v>8633334.8520971593</v>
      </c>
    </row>
    <row r="108" spans="1:26">
      <c r="A108" s="27"/>
      <c r="B108" s="85"/>
      <c r="C108" s="85"/>
      <c r="D108" s="85"/>
      <c r="E108" s="85"/>
      <c r="F108" s="86"/>
    </row>
    <row r="109" spans="1:26">
      <c r="A109" s="25" t="s">
        <v>137</v>
      </c>
      <c r="B109" s="65">
        <f>B61</f>
        <v>1482831.8625775173</v>
      </c>
      <c r="C109" s="65">
        <f t="shared" ref="C109:F109" si="34">C61</f>
        <v>1537996.1871475931</v>
      </c>
      <c r="D109" s="65">
        <f t="shared" si="34"/>
        <v>1537996.1871475931</v>
      </c>
      <c r="E109" s="65">
        <f t="shared" si="34"/>
        <v>1537996.1871475931</v>
      </c>
      <c r="F109" s="66">
        <f t="shared" si="34"/>
        <v>1537996.1871475931</v>
      </c>
    </row>
    <row r="110" spans="1:26">
      <c r="A110" s="25" t="s">
        <v>138</v>
      </c>
      <c r="B110" s="302">
        <f>B78</f>
        <v>2087888.230132919</v>
      </c>
      <c r="C110" s="302">
        <f t="shared" ref="C110:F110" si="35">C78</f>
        <v>2376070.039986928</v>
      </c>
      <c r="D110" s="302">
        <f t="shared" si="35"/>
        <v>2376070.039986928</v>
      </c>
      <c r="E110" s="302">
        <f t="shared" si="35"/>
        <v>2376070.039986928</v>
      </c>
      <c r="F110" s="310">
        <f t="shared" si="35"/>
        <v>2376070.039986928</v>
      </c>
    </row>
    <row r="111" spans="1:26">
      <c r="A111" s="27"/>
      <c r="B111" s="96"/>
      <c r="C111" s="96"/>
      <c r="D111" s="96"/>
      <c r="E111" s="96"/>
      <c r="F111" s="97"/>
    </row>
    <row r="112" spans="1:26">
      <c r="A112" s="25" t="s">
        <v>139</v>
      </c>
      <c r="B112" s="302">
        <f>SUM(B107:B110)</f>
        <v>10706001.118002165</v>
      </c>
      <c r="C112" s="302">
        <f t="shared" ref="C112:F112" si="36">SUM(C107:C110)</f>
        <v>12536575.661935911</v>
      </c>
      <c r="D112" s="302">
        <f t="shared" si="36"/>
        <v>12535629.079231679</v>
      </c>
      <c r="E112" s="302">
        <f t="shared" si="36"/>
        <v>12547367.031509336</v>
      </c>
      <c r="F112" s="310">
        <f t="shared" si="36"/>
        <v>12547401.079231679</v>
      </c>
    </row>
    <row r="113" spans="1:6">
      <c r="A113" s="27"/>
      <c r="B113" s="96"/>
      <c r="C113" s="96"/>
      <c r="D113" s="96"/>
      <c r="E113" s="96"/>
      <c r="F113" s="97"/>
    </row>
    <row r="114" spans="1:6">
      <c r="A114" s="25" t="s">
        <v>140</v>
      </c>
      <c r="B114" s="302">
        <f>B112/B101</f>
        <v>72337.845391906521</v>
      </c>
      <c r="C114" s="302">
        <f t="shared" ref="C114:F114" si="37">C112/C101</f>
        <v>69647.64256631062</v>
      </c>
      <c r="D114" s="302">
        <f t="shared" si="37"/>
        <v>69642.383773509326</v>
      </c>
      <c r="E114" s="302">
        <f t="shared" si="37"/>
        <v>69707.594619496318</v>
      </c>
      <c r="F114" s="310">
        <f t="shared" si="37"/>
        <v>69707.783773509334</v>
      </c>
    </row>
    <row r="115" spans="1:6">
      <c r="A115" s="27"/>
      <c r="B115" s="96"/>
      <c r="C115" s="96"/>
      <c r="D115" s="96"/>
      <c r="E115" s="96"/>
      <c r="F115" s="97"/>
    </row>
    <row r="116" spans="1:6">
      <c r="A116" s="25" t="s">
        <v>141</v>
      </c>
      <c r="B116" s="302">
        <f>B88-B112</f>
        <v>18093998.881997835</v>
      </c>
      <c r="C116" s="302">
        <f t="shared" ref="C116:F116" si="38">C88-C112</f>
        <v>23463424.338064089</v>
      </c>
      <c r="D116" s="302">
        <f t="shared" si="38"/>
        <v>23464370.920768321</v>
      </c>
      <c r="E116" s="302">
        <f t="shared" si="38"/>
        <v>23452632.968490664</v>
      </c>
      <c r="F116" s="310">
        <f t="shared" si="38"/>
        <v>23452598.920768321</v>
      </c>
    </row>
    <row r="117" spans="1:6">
      <c r="A117" s="25" t="s">
        <v>3</v>
      </c>
      <c r="B117" s="302">
        <f>B116*InfoInicial!$B$5</f>
        <v>542819.96645993507</v>
      </c>
      <c r="C117" s="302">
        <f>C116*InfoInicial!$B$5</f>
        <v>703902.7301419226</v>
      </c>
      <c r="D117" s="302">
        <f>D116*InfoInicial!$B$5</f>
        <v>703931.12762304954</v>
      </c>
      <c r="E117" s="302">
        <f>E116*InfoInicial!$B$5</f>
        <v>703578.98905471992</v>
      </c>
      <c r="F117" s="310">
        <f>F116*InfoInicial!$B$5</f>
        <v>703577.96762304963</v>
      </c>
    </row>
    <row r="118" spans="1:6">
      <c r="A118" s="46" t="s">
        <v>142</v>
      </c>
      <c r="B118" s="302">
        <f>(B116-B117)*InfoInicial!$B$4</f>
        <v>6142912.6204382647</v>
      </c>
      <c r="C118" s="302">
        <f>(C116-C117)*InfoInicial!$B$4</f>
        <v>7965832.5627727574</v>
      </c>
      <c r="D118" s="302">
        <f>(D116-D117)*InfoInicial!$B$4</f>
        <v>7966153.9276008438</v>
      </c>
      <c r="E118" s="302">
        <f>(E116-E117)*InfoInicial!$B$4</f>
        <v>7962168.8928025793</v>
      </c>
      <c r="F118" s="310">
        <f>(F116-F117)*InfoInicial!$B$4</f>
        <v>7962157.3336008433</v>
      </c>
    </row>
    <row r="119" spans="1:6">
      <c r="A119" s="25"/>
      <c r="B119" s="96"/>
      <c r="C119" s="96"/>
      <c r="D119" s="96"/>
      <c r="E119" s="96"/>
      <c r="F119" s="97"/>
    </row>
    <row r="120" spans="1:6">
      <c r="A120" s="46" t="s">
        <v>143</v>
      </c>
      <c r="B120" s="302">
        <f>B116-B117-B118</f>
        <v>11408266.295099637</v>
      </c>
      <c r="C120" s="302">
        <f t="shared" ref="C120:F120" si="39">C116-C117-C118</f>
        <v>14793689.045149408</v>
      </c>
      <c r="D120" s="302">
        <f t="shared" si="39"/>
        <v>14794285.865544425</v>
      </c>
      <c r="E120" s="302">
        <f t="shared" si="39"/>
        <v>14786885.086633364</v>
      </c>
      <c r="F120" s="310">
        <f t="shared" si="39"/>
        <v>14786863.619544426</v>
      </c>
    </row>
    <row r="121" spans="1:6">
      <c r="A121" s="25" t="s">
        <v>144</v>
      </c>
      <c r="B121" s="305">
        <f>B120/B88</f>
        <v>0.39612035746873736</v>
      </c>
      <c r="C121" s="305">
        <f t="shared" ref="C121:F121" si="40">C120/C88</f>
        <v>0.41093580680970576</v>
      </c>
      <c r="D121" s="305">
        <f t="shared" si="40"/>
        <v>0.41095238515401183</v>
      </c>
      <c r="E121" s="305">
        <f t="shared" si="40"/>
        <v>0.41074680796203789</v>
      </c>
      <c r="F121" s="311">
        <f t="shared" si="40"/>
        <v>0.41074621165401182</v>
      </c>
    </row>
    <row r="122" spans="1:6">
      <c r="A122" s="25"/>
      <c r="B122" s="100"/>
      <c r="C122" s="100"/>
      <c r="D122" s="100"/>
      <c r="E122" s="100"/>
      <c r="F122" s="101"/>
    </row>
    <row r="123" spans="1:6">
      <c r="A123" s="25" t="s">
        <v>145</v>
      </c>
      <c r="B123" s="98"/>
      <c r="C123" s="98"/>
      <c r="D123" s="98"/>
      <c r="E123" s="98"/>
      <c r="F123" s="99"/>
    </row>
    <row r="124" spans="1:6">
      <c r="A124" s="46" t="s">
        <v>146</v>
      </c>
      <c r="B124" s="306">
        <f>B120</f>
        <v>11408266.295099637</v>
      </c>
      <c r="C124" s="306">
        <f t="shared" ref="C124:F124" si="41">C120</f>
        <v>14793689.045149408</v>
      </c>
      <c r="D124" s="306">
        <f t="shared" si="41"/>
        <v>14794285.865544425</v>
      </c>
      <c r="E124" s="306">
        <f t="shared" si="41"/>
        <v>14786885.086633364</v>
      </c>
      <c r="F124" s="307">
        <f t="shared" si="41"/>
        <v>14786863.619544426</v>
      </c>
    </row>
    <row r="125" spans="1:6">
      <c r="A125" s="25" t="s">
        <v>147</v>
      </c>
      <c r="B125" s="306">
        <f>'E-Inv AF y Am'!$D$56</f>
        <v>546868.76861625118</v>
      </c>
      <c r="C125" s="306">
        <f>'E-Inv AF y Am'!$D$56</f>
        <v>546868.76861625118</v>
      </c>
      <c r="D125" s="306">
        <f>'E-Inv AF y Am'!$D$56</f>
        <v>546868.76861625118</v>
      </c>
      <c r="E125" s="306">
        <f>'E-Inv AF y Am'!$E$56</f>
        <v>540868.76861625118</v>
      </c>
      <c r="F125" s="307">
        <f>'E-Inv AF y Am'!$E$56</f>
        <v>540868.76861625118</v>
      </c>
    </row>
    <row r="126" spans="1:6" ht="13.5" thickBot="1">
      <c r="A126" s="35" t="s">
        <v>148</v>
      </c>
      <c r="B126" s="312">
        <f>B125+B124</f>
        <v>11955135.063715888</v>
      </c>
      <c r="C126" s="312">
        <f t="shared" ref="C126:F126" si="42">C125+C124</f>
        <v>15340557.81376566</v>
      </c>
      <c r="D126" s="312">
        <f t="shared" si="42"/>
        <v>15341154.634160677</v>
      </c>
      <c r="E126" s="312">
        <f t="shared" si="42"/>
        <v>15327753.855249615</v>
      </c>
      <c r="F126" s="313">
        <f t="shared" si="42"/>
        <v>15327732.388160678</v>
      </c>
    </row>
    <row r="127" spans="1:6" ht="13.5" thickTop="1">
      <c r="A127" s="37"/>
      <c r="B127" s="38"/>
      <c r="C127" s="38"/>
      <c r="D127" s="38"/>
      <c r="E127" s="38"/>
      <c r="F127" s="316"/>
    </row>
    <row r="128" spans="1:6">
      <c r="A128" s="25" t="s">
        <v>149</v>
      </c>
      <c r="B128" s="28">
        <f>B46*B43</f>
        <v>2242447.4696922745</v>
      </c>
      <c r="C128" s="28">
        <f t="shared" ref="C128:F128" si="43">C46*C43</f>
        <v>2396544.8363752388</v>
      </c>
      <c r="D128" s="28">
        <f t="shared" si="43"/>
        <v>2396544.8363752388</v>
      </c>
      <c r="E128" s="28">
        <f t="shared" si="43"/>
        <v>2390334.8493904234</v>
      </c>
      <c r="F128" s="45">
        <f t="shared" si="43"/>
        <v>2390334.8493904234</v>
      </c>
    </row>
    <row r="129" spans="1:8">
      <c r="A129" s="46" t="s">
        <v>150</v>
      </c>
      <c r="B129" s="28">
        <f>B47*B43</f>
        <v>5040460.0595710091</v>
      </c>
      <c r="C129" s="28">
        <f t="shared" ref="C129:F129" si="44">C47*C43</f>
        <v>6225964.5984261492</v>
      </c>
      <c r="D129" s="28">
        <f t="shared" si="44"/>
        <v>6225018.0157219209</v>
      </c>
      <c r="E129" s="28">
        <f t="shared" si="44"/>
        <v>6242965.954984393</v>
      </c>
      <c r="F129" s="45">
        <f t="shared" si="44"/>
        <v>6243000.0027067354</v>
      </c>
    </row>
    <row r="130" spans="1:8">
      <c r="A130" s="25" t="s">
        <v>151</v>
      </c>
      <c r="B130" s="28">
        <f>B63*B61</f>
        <v>1482831.8625775173</v>
      </c>
      <c r="C130" s="28">
        <f t="shared" ref="C130:F130" si="45">C63*C61</f>
        <v>1537996.1871475931</v>
      </c>
      <c r="D130" s="28">
        <f t="shared" si="45"/>
        <v>1537996.1871475931</v>
      </c>
      <c r="E130" s="28">
        <f t="shared" si="45"/>
        <v>1537996.1871475931</v>
      </c>
      <c r="F130" s="45">
        <f t="shared" si="45"/>
        <v>1537996.1871475931</v>
      </c>
    </row>
    <row r="131" spans="1:8">
      <c r="A131" s="46" t="s">
        <v>152</v>
      </c>
      <c r="B131" s="28">
        <f>B64*B61</f>
        <v>0</v>
      </c>
      <c r="C131" s="28">
        <f t="shared" ref="C131:F131" si="46">C64*C61</f>
        <v>0</v>
      </c>
      <c r="D131" s="28">
        <f t="shared" si="46"/>
        <v>0</v>
      </c>
      <c r="E131" s="28">
        <f t="shared" si="46"/>
        <v>0</v>
      </c>
      <c r="F131" s="45">
        <f t="shared" si="46"/>
        <v>0</v>
      </c>
    </row>
    <row r="132" spans="1:8">
      <c r="A132" s="25" t="s">
        <v>153</v>
      </c>
      <c r="B132" s="28">
        <f>B80*B78</f>
        <v>792000</v>
      </c>
      <c r="C132" s="28">
        <f t="shared" ref="C132:F132" si="47">C80*C78</f>
        <v>990000</v>
      </c>
      <c r="D132" s="28">
        <f t="shared" si="47"/>
        <v>990000</v>
      </c>
      <c r="E132" s="28">
        <f t="shared" si="47"/>
        <v>990000</v>
      </c>
      <c r="F132" s="45">
        <f t="shared" si="47"/>
        <v>990000</v>
      </c>
    </row>
    <row r="133" spans="1:8">
      <c r="A133" s="46" t="s">
        <v>154</v>
      </c>
      <c r="B133" s="28">
        <f>B81*B78</f>
        <v>1295888.2301329188</v>
      </c>
      <c r="C133" s="28">
        <f t="shared" ref="C133:F133" si="48">C81*C78</f>
        <v>1386070.039986928</v>
      </c>
      <c r="D133" s="28">
        <f t="shared" si="48"/>
        <v>1386070.039986928</v>
      </c>
      <c r="E133" s="28">
        <f t="shared" si="48"/>
        <v>1386070.039986928</v>
      </c>
      <c r="F133" s="45">
        <f t="shared" si="48"/>
        <v>1386070.039986928</v>
      </c>
    </row>
    <row r="134" spans="1:8">
      <c r="A134" s="25" t="s">
        <v>155</v>
      </c>
      <c r="B134" s="28">
        <f>B88-B129-B131-B133</f>
        <v>22463651.710296072</v>
      </c>
      <c r="C134" s="28">
        <f t="shared" ref="C134:F134" si="49">C88-C129-C131-C133</f>
        <v>28387965.361586925</v>
      </c>
      <c r="D134" s="28">
        <f t="shared" si="49"/>
        <v>28388911.944291152</v>
      </c>
      <c r="E134" s="28">
        <f t="shared" si="49"/>
        <v>28370964.00502868</v>
      </c>
      <c r="F134" s="45">
        <f t="shared" si="49"/>
        <v>28370929.957306337</v>
      </c>
    </row>
    <row r="135" spans="1:8" ht="13.5" thickBot="1">
      <c r="A135" s="35" t="s">
        <v>156</v>
      </c>
      <c r="B135" s="314">
        <f>(B128+B130+B132)/B134</f>
        <v>0.2010928316788016</v>
      </c>
      <c r="C135" s="314">
        <f t="shared" ref="C135:F135" si="50">(C128+C130+C132)/C134</f>
        <v>0.17347284177634148</v>
      </c>
      <c r="D135" s="314">
        <f t="shared" si="50"/>
        <v>0.17346705760285852</v>
      </c>
      <c r="E135" s="314">
        <f t="shared" si="50"/>
        <v>0.17335791042088858</v>
      </c>
      <c r="F135" s="315">
        <f t="shared" si="50"/>
        <v>0.17335811846630722</v>
      </c>
    </row>
    <row r="136" spans="1:8" ht="16.5" thickTop="1">
      <c r="A136" s="102" t="s">
        <v>157</v>
      </c>
    </row>
    <row r="137" spans="1:8" ht="13.5" thickBot="1"/>
    <row r="138" spans="1:8" ht="13.5" thickBot="1">
      <c r="A138" s="331" t="s">
        <v>529</v>
      </c>
      <c r="B138" s="332"/>
      <c r="C138" s="332"/>
      <c r="D138" s="332"/>
      <c r="E138" s="332"/>
      <c r="F138" s="332"/>
      <c r="G138" s="332"/>
    </row>
    <row r="139" spans="1:8" ht="13.5" thickBot="1">
      <c r="A139" s="333" t="s">
        <v>528</v>
      </c>
      <c r="B139" s="321" t="s">
        <v>523</v>
      </c>
      <c r="C139" s="327" t="s">
        <v>524</v>
      </c>
      <c r="D139" s="329" t="s">
        <v>525</v>
      </c>
      <c r="E139" s="325" t="s">
        <v>526</v>
      </c>
    </row>
    <row r="140" spans="1:8">
      <c r="A140" s="334">
        <v>1</v>
      </c>
      <c r="B140" s="322">
        <f>$B$128+$B$130+$B$132</f>
        <v>4517279.3322697915</v>
      </c>
      <c r="C140" s="328">
        <f>$H$141*A140</f>
        <v>44002.418678499496</v>
      </c>
      <c r="D140" s="330">
        <f>B140+C140</f>
        <v>4561281.7509482913</v>
      </c>
      <c r="E140" s="326">
        <f>$B$87*A140</f>
        <v>200000</v>
      </c>
      <c r="G140" s="317" t="s">
        <v>527</v>
      </c>
      <c r="H140" s="318"/>
    </row>
    <row r="141" spans="1:8" ht="13.5" thickBot="1">
      <c r="A141" s="335">
        <v>7</v>
      </c>
      <c r="B141" s="322">
        <f t="shared" ref="B141:B164" si="51">$B$128+$B$130+$B$132</f>
        <v>4517279.3322697915</v>
      </c>
      <c r="C141" s="328">
        <f t="shared" ref="C141:C164" si="52">$H$141*A141</f>
        <v>308016.93074949645</v>
      </c>
      <c r="D141" s="330">
        <f t="shared" ref="D141:D164" si="53">B141+C141</f>
        <v>4825296.263019288</v>
      </c>
      <c r="E141" s="326">
        <f t="shared" ref="E141:E164" si="54">$B$87*A141</f>
        <v>1400000</v>
      </c>
      <c r="G141" s="319" t="s">
        <v>48</v>
      </c>
      <c r="H141" s="320">
        <f>(B129+B131+B133)/B86</f>
        <v>44002.418678499496</v>
      </c>
    </row>
    <row r="142" spans="1:8">
      <c r="A142" s="334">
        <v>13</v>
      </c>
      <c r="B142" s="322">
        <f t="shared" si="51"/>
        <v>4517279.3322697915</v>
      </c>
      <c r="C142" s="328">
        <f t="shared" si="52"/>
        <v>572031.44282049348</v>
      </c>
      <c r="D142" s="330">
        <f t="shared" si="53"/>
        <v>5089310.7750902846</v>
      </c>
      <c r="E142" s="326">
        <f t="shared" si="54"/>
        <v>2600000</v>
      </c>
    </row>
    <row r="143" spans="1:8">
      <c r="A143" s="335">
        <v>19</v>
      </c>
      <c r="B143" s="322">
        <f t="shared" si="51"/>
        <v>4517279.3322697915</v>
      </c>
      <c r="C143" s="328">
        <f t="shared" si="52"/>
        <v>836045.9548914904</v>
      </c>
      <c r="D143" s="330">
        <f t="shared" si="53"/>
        <v>5353325.2871612823</v>
      </c>
      <c r="E143" s="326">
        <f t="shared" si="54"/>
        <v>3800000</v>
      </c>
    </row>
    <row r="144" spans="1:8">
      <c r="A144" s="334">
        <v>25</v>
      </c>
      <c r="B144" s="322">
        <f t="shared" si="51"/>
        <v>4517279.3322697915</v>
      </c>
      <c r="C144" s="328">
        <f t="shared" si="52"/>
        <v>1100060.4669624874</v>
      </c>
      <c r="D144" s="330">
        <f t="shared" si="53"/>
        <v>5617339.799232279</v>
      </c>
      <c r="E144" s="326">
        <f t="shared" si="54"/>
        <v>5000000</v>
      </c>
    </row>
    <row r="145" spans="1:5">
      <c r="A145" s="335">
        <v>31</v>
      </c>
      <c r="B145" s="322">
        <f t="shared" si="51"/>
        <v>4517279.3322697915</v>
      </c>
      <c r="C145" s="328">
        <f t="shared" si="52"/>
        <v>1364074.9790334844</v>
      </c>
      <c r="D145" s="330">
        <f t="shared" si="53"/>
        <v>5881354.3113032756</v>
      </c>
      <c r="E145" s="326">
        <f t="shared" si="54"/>
        <v>6200000</v>
      </c>
    </row>
    <row r="146" spans="1:5">
      <c r="A146" s="334">
        <v>37</v>
      </c>
      <c r="B146" s="322">
        <f t="shared" si="51"/>
        <v>4517279.3322697915</v>
      </c>
      <c r="C146" s="328">
        <f t="shared" si="52"/>
        <v>1628089.4911044813</v>
      </c>
      <c r="D146" s="330">
        <f t="shared" si="53"/>
        <v>6145368.8233742733</v>
      </c>
      <c r="E146" s="326">
        <f t="shared" si="54"/>
        <v>7400000</v>
      </c>
    </row>
    <row r="147" spans="1:5">
      <c r="A147" s="335">
        <v>43</v>
      </c>
      <c r="B147" s="322">
        <f t="shared" si="51"/>
        <v>4517279.3322697915</v>
      </c>
      <c r="C147" s="328">
        <f t="shared" si="52"/>
        <v>1892104.0031754784</v>
      </c>
      <c r="D147" s="330">
        <f t="shared" si="53"/>
        <v>6409383.3354452699</v>
      </c>
      <c r="E147" s="326">
        <f t="shared" si="54"/>
        <v>8600000</v>
      </c>
    </row>
    <row r="148" spans="1:5">
      <c r="A148" s="334">
        <v>49</v>
      </c>
      <c r="B148" s="322">
        <f t="shared" si="51"/>
        <v>4517279.3322697915</v>
      </c>
      <c r="C148" s="328">
        <f t="shared" si="52"/>
        <v>2156118.5152464751</v>
      </c>
      <c r="D148" s="330">
        <f t="shared" si="53"/>
        <v>6673397.8475162666</v>
      </c>
      <c r="E148" s="326">
        <f t="shared" si="54"/>
        <v>9800000</v>
      </c>
    </row>
    <row r="149" spans="1:5">
      <c r="A149" s="335">
        <v>55</v>
      </c>
      <c r="B149" s="322">
        <f t="shared" si="51"/>
        <v>4517279.3322697915</v>
      </c>
      <c r="C149" s="328">
        <f t="shared" si="52"/>
        <v>2420133.0273174723</v>
      </c>
      <c r="D149" s="330">
        <f t="shared" si="53"/>
        <v>6937412.3595872633</v>
      </c>
      <c r="E149" s="326">
        <f t="shared" si="54"/>
        <v>11000000</v>
      </c>
    </row>
    <row r="150" spans="1:5">
      <c r="A150" s="334">
        <v>61</v>
      </c>
      <c r="B150" s="322">
        <f t="shared" si="51"/>
        <v>4517279.3322697915</v>
      </c>
      <c r="C150" s="328">
        <f t="shared" si="52"/>
        <v>2684147.5393884694</v>
      </c>
      <c r="D150" s="330">
        <f t="shared" si="53"/>
        <v>7201426.8716582609</v>
      </c>
      <c r="E150" s="326">
        <f t="shared" si="54"/>
        <v>12200000</v>
      </c>
    </row>
    <row r="151" spans="1:5">
      <c r="A151" s="335">
        <v>67</v>
      </c>
      <c r="B151" s="322">
        <f t="shared" si="51"/>
        <v>4517279.3322697915</v>
      </c>
      <c r="C151" s="328">
        <f t="shared" si="52"/>
        <v>2948162.0514594661</v>
      </c>
      <c r="D151" s="330">
        <f t="shared" si="53"/>
        <v>7465441.3837292576</v>
      </c>
      <c r="E151" s="326">
        <f t="shared" si="54"/>
        <v>13400000</v>
      </c>
    </row>
    <row r="152" spans="1:5">
      <c r="A152" s="334">
        <v>73</v>
      </c>
      <c r="B152" s="322">
        <f t="shared" si="51"/>
        <v>4517279.3322697915</v>
      </c>
      <c r="C152" s="328">
        <f t="shared" si="52"/>
        <v>3212176.5635304633</v>
      </c>
      <c r="D152" s="330">
        <f t="shared" si="53"/>
        <v>7729455.8958002552</v>
      </c>
      <c r="E152" s="326">
        <f t="shared" si="54"/>
        <v>14600000</v>
      </c>
    </row>
    <row r="153" spans="1:5">
      <c r="A153" s="335">
        <v>79</v>
      </c>
      <c r="B153" s="322">
        <f t="shared" si="51"/>
        <v>4517279.3322697915</v>
      </c>
      <c r="C153" s="328">
        <f t="shared" si="52"/>
        <v>3476191.0756014604</v>
      </c>
      <c r="D153" s="330">
        <f t="shared" si="53"/>
        <v>7993470.4078712519</v>
      </c>
      <c r="E153" s="326">
        <f t="shared" si="54"/>
        <v>15800000</v>
      </c>
    </row>
    <row r="154" spans="1:5">
      <c r="A154" s="334">
        <v>85</v>
      </c>
      <c r="B154" s="322">
        <f t="shared" si="51"/>
        <v>4517279.3322697915</v>
      </c>
      <c r="C154" s="328">
        <f t="shared" si="52"/>
        <v>3740205.5876724571</v>
      </c>
      <c r="D154" s="330">
        <f t="shared" si="53"/>
        <v>8257484.9199422486</v>
      </c>
      <c r="E154" s="326">
        <f t="shared" si="54"/>
        <v>17000000</v>
      </c>
    </row>
    <row r="155" spans="1:5">
      <c r="A155" s="335">
        <v>91</v>
      </c>
      <c r="B155" s="322">
        <f t="shared" si="51"/>
        <v>4517279.3322697915</v>
      </c>
      <c r="C155" s="328">
        <f t="shared" si="52"/>
        <v>4004220.0997434543</v>
      </c>
      <c r="D155" s="330">
        <f t="shared" si="53"/>
        <v>8521499.4320132453</v>
      </c>
      <c r="E155" s="326">
        <f t="shared" si="54"/>
        <v>18200000</v>
      </c>
    </row>
    <row r="156" spans="1:5">
      <c r="A156" s="334">
        <v>97</v>
      </c>
      <c r="B156" s="322">
        <f t="shared" si="51"/>
        <v>4517279.3322697915</v>
      </c>
      <c r="C156" s="328">
        <f t="shared" si="52"/>
        <v>4268234.6118144514</v>
      </c>
      <c r="D156" s="330">
        <f t="shared" si="53"/>
        <v>8785513.944084242</v>
      </c>
      <c r="E156" s="326">
        <f t="shared" si="54"/>
        <v>19400000</v>
      </c>
    </row>
    <row r="157" spans="1:5">
      <c r="A157" s="335">
        <v>103</v>
      </c>
      <c r="B157" s="322">
        <f t="shared" si="51"/>
        <v>4517279.3322697915</v>
      </c>
      <c r="C157" s="328">
        <f t="shared" si="52"/>
        <v>4532249.1238854481</v>
      </c>
      <c r="D157" s="330">
        <f t="shared" si="53"/>
        <v>9049528.4561552405</v>
      </c>
      <c r="E157" s="326">
        <f t="shared" si="54"/>
        <v>20600000</v>
      </c>
    </row>
    <row r="158" spans="1:5">
      <c r="A158" s="334">
        <v>109</v>
      </c>
      <c r="B158" s="322">
        <f t="shared" si="51"/>
        <v>4517279.3322697915</v>
      </c>
      <c r="C158" s="328">
        <f t="shared" si="52"/>
        <v>4796263.6359564448</v>
      </c>
      <c r="D158" s="330">
        <f t="shared" si="53"/>
        <v>9313542.9682262354</v>
      </c>
      <c r="E158" s="326">
        <f t="shared" si="54"/>
        <v>21800000</v>
      </c>
    </row>
    <row r="159" spans="1:5">
      <c r="A159" s="335">
        <v>115</v>
      </c>
      <c r="B159" s="322">
        <f t="shared" si="51"/>
        <v>4517279.3322697915</v>
      </c>
      <c r="C159" s="328">
        <f t="shared" si="52"/>
        <v>5060278.1480274424</v>
      </c>
      <c r="D159" s="330">
        <f t="shared" si="53"/>
        <v>9577557.4802972339</v>
      </c>
      <c r="E159" s="326">
        <f t="shared" si="54"/>
        <v>23000000</v>
      </c>
    </row>
    <row r="160" spans="1:5">
      <c r="A160" s="334">
        <v>121</v>
      </c>
      <c r="B160" s="322">
        <f t="shared" si="51"/>
        <v>4517279.3322697915</v>
      </c>
      <c r="C160" s="328">
        <f t="shared" si="52"/>
        <v>5324292.6600984391</v>
      </c>
      <c r="D160" s="330">
        <f t="shared" si="53"/>
        <v>9841571.9923682306</v>
      </c>
      <c r="E160" s="326">
        <f t="shared" si="54"/>
        <v>24200000</v>
      </c>
    </row>
    <row r="161" spans="1:8">
      <c r="A161" s="335">
        <v>127</v>
      </c>
      <c r="B161" s="322">
        <f t="shared" si="51"/>
        <v>4517279.3322697915</v>
      </c>
      <c r="C161" s="328">
        <f t="shared" si="52"/>
        <v>5588307.1721694358</v>
      </c>
      <c r="D161" s="330">
        <f t="shared" si="53"/>
        <v>10105586.504439227</v>
      </c>
      <c r="E161" s="326">
        <f t="shared" si="54"/>
        <v>25400000</v>
      </c>
    </row>
    <row r="162" spans="1:8">
      <c r="A162" s="334">
        <v>133</v>
      </c>
      <c r="B162" s="322">
        <f t="shared" si="51"/>
        <v>4517279.3322697915</v>
      </c>
      <c r="C162" s="328">
        <f t="shared" si="52"/>
        <v>5852321.6842404334</v>
      </c>
      <c r="D162" s="330">
        <f t="shared" si="53"/>
        <v>10369601.016510226</v>
      </c>
      <c r="E162" s="326">
        <f t="shared" si="54"/>
        <v>26600000</v>
      </c>
    </row>
    <row r="163" spans="1:8">
      <c r="A163" s="335">
        <v>139</v>
      </c>
      <c r="B163" s="322">
        <f t="shared" si="51"/>
        <v>4517279.3322697915</v>
      </c>
      <c r="C163" s="328">
        <f t="shared" si="52"/>
        <v>6116336.1963114301</v>
      </c>
      <c r="D163" s="330">
        <f t="shared" si="53"/>
        <v>10633615.528581221</v>
      </c>
      <c r="E163" s="326">
        <f t="shared" si="54"/>
        <v>27800000</v>
      </c>
    </row>
    <row r="164" spans="1:8">
      <c r="A164" s="334">
        <v>144</v>
      </c>
      <c r="B164" s="322">
        <f t="shared" si="51"/>
        <v>4517279.3322697915</v>
      </c>
      <c r="C164" s="328">
        <f t="shared" si="52"/>
        <v>6336348.2897039279</v>
      </c>
      <c r="D164" s="330">
        <f t="shared" si="53"/>
        <v>10853627.621973719</v>
      </c>
      <c r="E164" s="326">
        <f t="shared" si="54"/>
        <v>28800000</v>
      </c>
    </row>
    <row r="165" spans="1:8" ht="13.5" thickBot="1"/>
    <row r="166" spans="1:8" ht="13.5" thickBot="1">
      <c r="A166" s="331" t="s">
        <v>530</v>
      </c>
      <c r="B166" s="332"/>
      <c r="C166" s="332"/>
      <c r="D166" s="332"/>
      <c r="E166" s="332"/>
      <c r="F166" s="332"/>
      <c r="G166" s="332"/>
    </row>
    <row r="167" spans="1:8" ht="13.5" thickBot="1">
      <c r="A167" s="333" t="s">
        <v>528</v>
      </c>
      <c r="B167" s="321" t="s">
        <v>523</v>
      </c>
      <c r="C167" s="327" t="s">
        <v>524</v>
      </c>
      <c r="D167" s="329" t="s">
        <v>525</v>
      </c>
      <c r="E167" s="323" t="s">
        <v>526</v>
      </c>
    </row>
    <row r="168" spans="1:8">
      <c r="A168" s="334">
        <v>1</v>
      </c>
      <c r="B168" s="322">
        <f>$F$128+$F$130+$F$132</f>
        <v>4918331.0365380161</v>
      </c>
      <c r="C168" s="328">
        <f t="shared" ref="C168:C198" si="55">$H$169*A168</f>
        <v>42383.72245940924</v>
      </c>
      <c r="D168" s="330">
        <f>B168+C168</f>
        <v>4960714.7589974254</v>
      </c>
      <c r="E168" s="324">
        <f>$B$87*A168</f>
        <v>200000</v>
      </c>
      <c r="G168" s="317" t="s">
        <v>527</v>
      </c>
      <c r="H168" s="318"/>
    </row>
    <row r="169" spans="1:8" ht="13.5" thickBot="1">
      <c r="A169" s="335">
        <v>7</v>
      </c>
      <c r="B169" s="322">
        <f t="shared" ref="B169:B198" si="56">$F$128+$F$130+$F$132</f>
        <v>4918331.0365380161</v>
      </c>
      <c r="C169" s="328">
        <f t="shared" si="55"/>
        <v>296686.05721586465</v>
      </c>
      <c r="D169" s="330">
        <f t="shared" ref="D169:D198" si="57">B169+C169</f>
        <v>5215017.0937538808</v>
      </c>
      <c r="E169" s="324">
        <f t="shared" ref="E169:E198" si="58">$B$87*A169</f>
        <v>1400000</v>
      </c>
      <c r="G169" s="319" t="s">
        <v>88</v>
      </c>
      <c r="H169" s="320">
        <f>(F131+F129+F133)/F86</f>
        <v>42383.72245940924</v>
      </c>
    </row>
    <row r="170" spans="1:8">
      <c r="A170" s="334">
        <v>13</v>
      </c>
      <c r="B170" s="322">
        <f t="shared" si="56"/>
        <v>4918331.0365380161</v>
      </c>
      <c r="C170" s="328">
        <f t="shared" si="55"/>
        <v>550988.39197232015</v>
      </c>
      <c r="D170" s="330">
        <f t="shared" si="57"/>
        <v>5469319.4285103362</v>
      </c>
      <c r="E170" s="324">
        <f t="shared" si="58"/>
        <v>2600000</v>
      </c>
    </row>
    <row r="171" spans="1:8">
      <c r="A171" s="335">
        <v>19</v>
      </c>
      <c r="B171" s="322">
        <f t="shared" si="56"/>
        <v>4918331.0365380161</v>
      </c>
      <c r="C171" s="328">
        <f t="shared" si="55"/>
        <v>805290.72672877554</v>
      </c>
      <c r="D171" s="330">
        <f t="shared" si="57"/>
        <v>5723621.7632667916</v>
      </c>
      <c r="E171" s="324">
        <f t="shared" si="58"/>
        <v>3800000</v>
      </c>
    </row>
    <row r="172" spans="1:8">
      <c r="A172" s="334">
        <v>25</v>
      </c>
      <c r="B172" s="322">
        <f t="shared" si="56"/>
        <v>4918331.0365380161</v>
      </c>
      <c r="C172" s="328">
        <f t="shared" si="55"/>
        <v>1059593.0614852309</v>
      </c>
      <c r="D172" s="330">
        <f t="shared" si="57"/>
        <v>5977924.098023247</v>
      </c>
      <c r="E172" s="324">
        <f t="shared" si="58"/>
        <v>5000000</v>
      </c>
    </row>
    <row r="173" spans="1:8">
      <c r="A173" s="335">
        <v>31</v>
      </c>
      <c r="B173" s="322">
        <f t="shared" si="56"/>
        <v>4918331.0365380161</v>
      </c>
      <c r="C173" s="328">
        <f t="shared" si="55"/>
        <v>1313895.3962416865</v>
      </c>
      <c r="D173" s="330">
        <f t="shared" si="57"/>
        <v>6232226.4327797024</v>
      </c>
      <c r="E173" s="324">
        <f t="shared" si="58"/>
        <v>6200000</v>
      </c>
    </row>
    <row r="174" spans="1:8">
      <c r="A174" s="334">
        <v>37</v>
      </c>
      <c r="B174" s="322">
        <f t="shared" si="56"/>
        <v>4918331.0365380161</v>
      </c>
      <c r="C174" s="328">
        <f t="shared" si="55"/>
        <v>1568197.7309981419</v>
      </c>
      <c r="D174" s="330">
        <f t="shared" si="57"/>
        <v>6486528.7675361577</v>
      </c>
      <c r="E174" s="324">
        <f t="shared" si="58"/>
        <v>7400000</v>
      </c>
    </row>
    <row r="175" spans="1:8">
      <c r="A175" s="335">
        <v>43</v>
      </c>
      <c r="B175" s="322">
        <f t="shared" si="56"/>
        <v>4918331.0365380161</v>
      </c>
      <c r="C175" s="328">
        <f t="shared" si="55"/>
        <v>1822500.0657545973</v>
      </c>
      <c r="D175" s="330">
        <f t="shared" si="57"/>
        <v>6740831.1022926131</v>
      </c>
      <c r="E175" s="324">
        <f t="shared" si="58"/>
        <v>8600000</v>
      </c>
    </row>
    <row r="176" spans="1:8">
      <c r="A176" s="334">
        <v>49</v>
      </c>
      <c r="B176" s="322">
        <f t="shared" si="56"/>
        <v>4918331.0365380161</v>
      </c>
      <c r="C176" s="328">
        <f t="shared" si="55"/>
        <v>2076802.4005110527</v>
      </c>
      <c r="D176" s="330">
        <f t="shared" si="57"/>
        <v>6995133.4370490685</v>
      </c>
      <c r="E176" s="324">
        <f t="shared" si="58"/>
        <v>9800000</v>
      </c>
    </row>
    <row r="177" spans="1:5">
      <c r="A177" s="335">
        <v>55</v>
      </c>
      <c r="B177" s="322">
        <f t="shared" si="56"/>
        <v>4918331.0365380161</v>
      </c>
      <c r="C177" s="328">
        <f t="shared" si="55"/>
        <v>2331104.7352675083</v>
      </c>
      <c r="D177" s="330">
        <f t="shared" si="57"/>
        <v>7249435.7718055248</v>
      </c>
      <c r="E177" s="324">
        <f t="shared" si="58"/>
        <v>11000000</v>
      </c>
    </row>
    <row r="178" spans="1:5">
      <c r="A178" s="334">
        <v>61</v>
      </c>
      <c r="B178" s="322">
        <f t="shared" si="56"/>
        <v>4918331.0365380161</v>
      </c>
      <c r="C178" s="328">
        <f t="shared" si="55"/>
        <v>2585407.0700239637</v>
      </c>
      <c r="D178" s="330">
        <f t="shared" si="57"/>
        <v>7503738.1065619793</v>
      </c>
      <c r="E178" s="324">
        <f t="shared" si="58"/>
        <v>12200000</v>
      </c>
    </row>
    <row r="179" spans="1:5">
      <c r="A179" s="335">
        <v>67</v>
      </c>
      <c r="B179" s="322">
        <f t="shared" si="56"/>
        <v>4918331.0365380161</v>
      </c>
      <c r="C179" s="328">
        <f t="shared" si="55"/>
        <v>2839709.4047804191</v>
      </c>
      <c r="D179" s="330">
        <f t="shared" si="57"/>
        <v>7758040.4413184356</v>
      </c>
      <c r="E179" s="324">
        <f t="shared" si="58"/>
        <v>13400000</v>
      </c>
    </row>
    <row r="180" spans="1:5">
      <c r="A180" s="334">
        <v>73</v>
      </c>
      <c r="B180" s="322">
        <f t="shared" si="56"/>
        <v>4918331.0365380161</v>
      </c>
      <c r="C180" s="328">
        <f t="shared" si="55"/>
        <v>3094011.7395368745</v>
      </c>
      <c r="D180" s="330">
        <f t="shared" si="57"/>
        <v>8012342.77607489</v>
      </c>
      <c r="E180" s="324">
        <f t="shared" si="58"/>
        <v>14600000</v>
      </c>
    </row>
    <row r="181" spans="1:5">
      <c r="A181" s="335">
        <v>79</v>
      </c>
      <c r="B181" s="322">
        <f t="shared" si="56"/>
        <v>4918331.0365380161</v>
      </c>
      <c r="C181" s="328">
        <f t="shared" si="55"/>
        <v>3348314.0742933298</v>
      </c>
      <c r="D181" s="330">
        <f t="shared" si="57"/>
        <v>8266645.1108313464</v>
      </c>
      <c r="E181" s="324">
        <f t="shared" si="58"/>
        <v>15800000</v>
      </c>
    </row>
    <row r="182" spans="1:5">
      <c r="A182" s="334">
        <v>85</v>
      </c>
      <c r="B182" s="322">
        <f t="shared" si="56"/>
        <v>4918331.0365380161</v>
      </c>
      <c r="C182" s="328">
        <f t="shared" si="55"/>
        <v>3602616.4090497852</v>
      </c>
      <c r="D182" s="330">
        <f t="shared" si="57"/>
        <v>8520947.4455878008</v>
      </c>
      <c r="E182" s="324">
        <f t="shared" si="58"/>
        <v>17000000</v>
      </c>
    </row>
    <row r="183" spans="1:5">
      <c r="A183" s="335">
        <v>91</v>
      </c>
      <c r="B183" s="322">
        <f t="shared" si="56"/>
        <v>4918331.0365380161</v>
      </c>
      <c r="C183" s="328">
        <f t="shared" si="55"/>
        <v>3856918.7438062411</v>
      </c>
      <c r="D183" s="330">
        <f t="shared" si="57"/>
        <v>8775249.7803442571</v>
      </c>
      <c r="E183" s="324">
        <f t="shared" si="58"/>
        <v>18200000</v>
      </c>
    </row>
    <row r="184" spans="1:5">
      <c r="A184" s="334">
        <v>97</v>
      </c>
      <c r="B184" s="322">
        <f t="shared" si="56"/>
        <v>4918331.0365380161</v>
      </c>
      <c r="C184" s="328">
        <f t="shared" si="55"/>
        <v>4111221.0785626965</v>
      </c>
      <c r="D184" s="330">
        <f t="shared" si="57"/>
        <v>9029552.1151007116</v>
      </c>
      <c r="E184" s="324">
        <f t="shared" si="58"/>
        <v>19400000</v>
      </c>
    </row>
    <row r="185" spans="1:5">
      <c r="A185" s="335">
        <v>103</v>
      </c>
      <c r="B185" s="322">
        <f t="shared" si="56"/>
        <v>4918331.0365380161</v>
      </c>
      <c r="C185" s="328">
        <f t="shared" si="55"/>
        <v>4365523.4133191518</v>
      </c>
      <c r="D185" s="330">
        <f t="shared" si="57"/>
        <v>9283854.4498571679</v>
      </c>
      <c r="E185" s="324">
        <f t="shared" si="58"/>
        <v>20600000</v>
      </c>
    </row>
    <row r="186" spans="1:5">
      <c r="A186" s="334">
        <v>109</v>
      </c>
      <c r="B186" s="322">
        <f t="shared" si="56"/>
        <v>4918331.0365380161</v>
      </c>
      <c r="C186" s="328">
        <f t="shared" si="55"/>
        <v>4619825.7480756072</v>
      </c>
      <c r="D186" s="330">
        <f t="shared" si="57"/>
        <v>9538156.7846136242</v>
      </c>
      <c r="E186" s="324">
        <f t="shared" si="58"/>
        <v>21800000</v>
      </c>
    </row>
    <row r="187" spans="1:5">
      <c r="A187" s="335">
        <v>115</v>
      </c>
      <c r="B187" s="322">
        <f t="shared" si="56"/>
        <v>4918331.0365380161</v>
      </c>
      <c r="C187" s="328">
        <f t="shared" si="55"/>
        <v>4874128.0828320626</v>
      </c>
      <c r="D187" s="330">
        <f t="shared" si="57"/>
        <v>9792459.1193700787</v>
      </c>
      <c r="E187" s="324">
        <f t="shared" si="58"/>
        <v>23000000</v>
      </c>
    </row>
    <row r="188" spans="1:5">
      <c r="A188" s="334">
        <v>121</v>
      </c>
      <c r="B188" s="322">
        <f t="shared" si="56"/>
        <v>4918331.0365380161</v>
      </c>
      <c r="C188" s="328">
        <f t="shared" si="55"/>
        <v>5128430.417588518</v>
      </c>
      <c r="D188" s="330">
        <f t="shared" si="57"/>
        <v>10046761.454126533</v>
      </c>
      <c r="E188" s="324">
        <f t="shared" si="58"/>
        <v>24200000</v>
      </c>
    </row>
    <row r="189" spans="1:5">
      <c r="A189" s="335">
        <v>127</v>
      </c>
      <c r="B189" s="322">
        <f t="shared" si="56"/>
        <v>4918331.0365380161</v>
      </c>
      <c r="C189" s="328">
        <f t="shared" si="55"/>
        <v>5382732.7523449734</v>
      </c>
      <c r="D189" s="330">
        <f t="shared" si="57"/>
        <v>10301063.788882989</v>
      </c>
      <c r="E189" s="324">
        <f t="shared" si="58"/>
        <v>25400000</v>
      </c>
    </row>
    <row r="190" spans="1:5">
      <c r="A190" s="334">
        <v>133</v>
      </c>
      <c r="B190" s="322">
        <f t="shared" si="56"/>
        <v>4918331.0365380161</v>
      </c>
      <c r="C190" s="328">
        <f t="shared" si="55"/>
        <v>5637035.0871014288</v>
      </c>
      <c r="D190" s="330">
        <f t="shared" si="57"/>
        <v>10555366.123639446</v>
      </c>
      <c r="E190" s="324">
        <f t="shared" si="58"/>
        <v>26600000</v>
      </c>
    </row>
    <row r="191" spans="1:5">
      <c r="A191" s="335">
        <v>139</v>
      </c>
      <c r="B191" s="322">
        <f t="shared" si="56"/>
        <v>4918331.0365380161</v>
      </c>
      <c r="C191" s="328">
        <f t="shared" si="55"/>
        <v>5891337.4218578842</v>
      </c>
      <c r="D191" s="330">
        <f t="shared" si="57"/>
        <v>10809668.4583959</v>
      </c>
      <c r="E191" s="324">
        <f t="shared" si="58"/>
        <v>27800000</v>
      </c>
    </row>
    <row r="192" spans="1:5">
      <c r="A192" s="334">
        <v>145</v>
      </c>
      <c r="B192" s="322">
        <f t="shared" si="56"/>
        <v>4918331.0365380161</v>
      </c>
      <c r="C192" s="328">
        <f t="shared" si="55"/>
        <v>6145639.7566143395</v>
      </c>
      <c r="D192" s="330">
        <f t="shared" si="57"/>
        <v>11063970.793152355</v>
      </c>
      <c r="E192" s="324">
        <f t="shared" si="58"/>
        <v>29000000</v>
      </c>
    </row>
    <row r="193" spans="1:5">
      <c r="A193" s="335">
        <v>151</v>
      </c>
      <c r="B193" s="322">
        <f t="shared" si="56"/>
        <v>4918331.0365380161</v>
      </c>
      <c r="C193" s="328">
        <f t="shared" si="55"/>
        <v>6399942.0913707949</v>
      </c>
      <c r="D193" s="330">
        <f t="shared" si="57"/>
        <v>11318273.127908811</v>
      </c>
      <c r="E193" s="324">
        <f t="shared" si="58"/>
        <v>30200000</v>
      </c>
    </row>
    <row r="194" spans="1:5">
      <c r="A194" s="334">
        <v>157</v>
      </c>
      <c r="B194" s="322">
        <f t="shared" si="56"/>
        <v>4918331.0365380161</v>
      </c>
      <c r="C194" s="328">
        <f t="shared" si="55"/>
        <v>6654244.4261272503</v>
      </c>
      <c r="D194" s="330">
        <f t="shared" si="57"/>
        <v>11572575.462665267</v>
      </c>
      <c r="E194" s="324">
        <f t="shared" si="58"/>
        <v>31400000</v>
      </c>
    </row>
    <row r="195" spans="1:5">
      <c r="A195" s="335">
        <v>163</v>
      </c>
      <c r="B195" s="322">
        <f t="shared" si="56"/>
        <v>4918331.0365380161</v>
      </c>
      <c r="C195" s="328">
        <f t="shared" si="55"/>
        <v>6908546.7608837066</v>
      </c>
      <c r="D195" s="330">
        <f t="shared" si="57"/>
        <v>11826877.797421724</v>
      </c>
      <c r="E195" s="324">
        <f t="shared" si="58"/>
        <v>32600000</v>
      </c>
    </row>
    <row r="196" spans="1:5">
      <c r="A196" s="334">
        <v>169</v>
      </c>
      <c r="B196" s="322">
        <f t="shared" si="56"/>
        <v>4918331.0365380161</v>
      </c>
      <c r="C196" s="328">
        <f t="shared" si="55"/>
        <v>7162849.095640162</v>
      </c>
      <c r="D196" s="330">
        <f t="shared" si="57"/>
        <v>12081180.132178178</v>
      </c>
      <c r="E196" s="324">
        <f t="shared" si="58"/>
        <v>33800000</v>
      </c>
    </row>
    <row r="197" spans="1:5">
      <c r="A197" s="335">
        <v>175</v>
      </c>
      <c r="B197" s="322">
        <f t="shared" si="56"/>
        <v>4918331.0365380161</v>
      </c>
      <c r="C197" s="328">
        <f t="shared" si="55"/>
        <v>7417151.4303966174</v>
      </c>
      <c r="D197" s="330">
        <f t="shared" si="57"/>
        <v>12335482.466934633</v>
      </c>
      <c r="E197" s="324">
        <f t="shared" si="58"/>
        <v>35000000</v>
      </c>
    </row>
    <row r="198" spans="1:5">
      <c r="A198" s="334">
        <v>180</v>
      </c>
      <c r="B198" s="322">
        <f t="shared" si="56"/>
        <v>4918331.0365380161</v>
      </c>
      <c r="C198" s="328">
        <f t="shared" si="55"/>
        <v>7629070.0426936634</v>
      </c>
      <c r="D198" s="330">
        <f t="shared" si="57"/>
        <v>12547401.079231679</v>
      </c>
      <c r="E198" s="324">
        <f t="shared" si="58"/>
        <v>36000000</v>
      </c>
    </row>
  </sheetData>
  <sheetProtection selectLockedCells="1" selectUnlockedCells="1"/>
  <mergeCells count="1">
    <mergeCell ref="I6:R8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  <ignoredErrors>
    <ignoredError sqref="B16:F17 B19:F20 B33:B35 C33:C35 D33:D35 E33:E35 F33:F35 G35 B39:F39 B41:B44 C42:C44 D42:D44 E42:E44 F42:F44 B53:C53 B55:C55 B59:F59 B61:F61 B63:B64 C64 D64 E64 F63:F64 B70:F70 B72:F72 B76:F76 B80:B81 C80:C81 D80:D81 E80:E81 F80:F81 B7:F8 B11:F11 B15:F15 B26:G26 D28:F28 B10:F10 B28:C28 D29:E29 C30:C31 B13:F13 B12:D12 E12:F12 B30:B31 B29 B25:G25 G30:G31 D31:F31 B46:B47 C46:C47 D46:D47 E46:E47 F46:F47 C54:F54 D55:F55 B58:F58 B69:F69 B54 B75:F75 B88:F88 B90:F92 B94:F94 B97:B98 C98:F98 B100:F100 B102:F102 B105 B107:F107 B109:F110 B112:F112 B114:F114 B116:F116 B117:F117 B118:F118 B120:B121 C120:F121 B124:F124 B125:F125 B126:F126 B128:F135 F30" unlockedFormula="1"/>
    <ignoredError sqref="B71:F71 C29 D30:E30 F29 D53 D63:E63 C63 E53:F53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7"/>
  <sheetViews>
    <sheetView workbookViewId="0">
      <selection activeCell="B21" sqref="B21"/>
    </sheetView>
  </sheetViews>
  <sheetFormatPr baseColWidth="10" defaultColWidth="11.42578125" defaultRowHeight="12.75"/>
  <cols>
    <col min="1" max="1" width="45.5703125" style="16" customWidth="1"/>
    <col min="2" max="7" width="14.85546875" style="16" customWidth="1"/>
    <col min="8" max="8" width="17.42578125" style="16" customWidth="1"/>
    <col min="9" max="9" width="11.42578125" style="16"/>
    <col min="10" max="10" width="35.85546875" style="16" bestFit="1" customWidth="1"/>
    <col min="11" max="16384" width="11.42578125" style="16"/>
  </cols>
  <sheetData>
    <row r="1" spans="1:13">
      <c r="A1" s="1" t="s">
        <v>0</v>
      </c>
      <c r="B1"/>
      <c r="C1"/>
      <c r="D1"/>
      <c r="E1" s="2">
        <f>InfoInicial!E1</f>
        <v>5</v>
      </c>
    </row>
    <row r="2" spans="1:13">
      <c r="A2" s="1"/>
      <c r="B2"/>
      <c r="C2"/>
      <c r="D2"/>
      <c r="E2" s="103"/>
    </row>
    <row r="3" spans="1:13" ht="15.75">
      <c r="A3" s="57" t="s">
        <v>158</v>
      </c>
      <c r="B3" s="58"/>
      <c r="C3" s="58"/>
      <c r="D3" s="58"/>
      <c r="E3" s="58"/>
      <c r="F3" s="58"/>
      <c r="G3" s="59"/>
    </row>
    <row r="4" spans="1:13" ht="13.5" thickBot="1">
      <c r="A4" s="60" t="s">
        <v>84</v>
      </c>
      <c r="B4" s="21" t="s">
        <v>47</v>
      </c>
      <c r="C4" s="21" t="s">
        <v>48</v>
      </c>
      <c r="D4" s="21" t="s">
        <v>85</v>
      </c>
      <c r="E4" s="21" t="s">
        <v>86</v>
      </c>
      <c r="F4" s="21" t="s">
        <v>87</v>
      </c>
      <c r="G4" s="22" t="s">
        <v>88</v>
      </c>
      <c r="J4" s="265" t="s">
        <v>532</v>
      </c>
      <c r="K4" s="269">
        <v>0.02</v>
      </c>
      <c r="L4" s="16" t="s">
        <v>511</v>
      </c>
    </row>
    <row r="5" spans="1:13" ht="13.5" thickTop="1">
      <c r="A5" s="104" t="s">
        <v>159</v>
      </c>
      <c r="B5" s="350"/>
      <c r="C5" s="350"/>
      <c r="D5" s="350"/>
      <c r="E5" s="350"/>
      <c r="F5" s="350"/>
      <c r="G5" s="351"/>
      <c r="J5" s="16" t="s">
        <v>542</v>
      </c>
      <c r="K5" s="269">
        <v>0.8</v>
      </c>
      <c r="L5" s="16" t="s">
        <v>533</v>
      </c>
    </row>
    <row r="6" spans="1:13">
      <c r="A6" s="104" t="s">
        <v>160</v>
      </c>
      <c r="B6" s="336">
        <f>C6*K5</f>
        <v>576000</v>
      </c>
      <c r="C6" s="65">
        <f>$K$4*'E-Costos'!C88</f>
        <v>720000</v>
      </c>
      <c r="D6" s="263">
        <f>C6</f>
        <v>720000</v>
      </c>
      <c r="E6" s="65">
        <f>C6</f>
        <v>720000</v>
      </c>
      <c r="F6" s="65">
        <f>C6</f>
        <v>720000</v>
      </c>
      <c r="G6" s="66">
        <f>C6</f>
        <v>720000</v>
      </c>
      <c r="J6" s="16" t="s">
        <v>534</v>
      </c>
      <c r="K6" s="16">
        <v>30</v>
      </c>
      <c r="L6" s="16" t="s">
        <v>535</v>
      </c>
    </row>
    <row r="7" spans="1:13">
      <c r="A7" s="104" t="s">
        <v>161</v>
      </c>
      <c r="B7" s="65">
        <v>0</v>
      </c>
      <c r="C7" s="65">
        <f>'E-Costos'!B88*'E-InvAT'!$K$6/365</f>
        <v>2367123.2876712331</v>
      </c>
      <c r="D7" s="65">
        <f>'E-Costos'!D88*'E-InvAT'!$K$6/365</f>
        <v>2958904.1095890412</v>
      </c>
      <c r="E7" s="65">
        <f>D7</f>
        <v>2958904.1095890412</v>
      </c>
      <c r="F7" s="65">
        <f>D7</f>
        <v>2958904.1095890412</v>
      </c>
      <c r="G7" s="66">
        <f>D7</f>
        <v>2958904.1095890412</v>
      </c>
    </row>
    <row r="8" spans="1:13">
      <c r="A8" s="107"/>
      <c r="B8" s="85"/>
      <c r="C8" s="85"/>
      <c r="D8" s="85"/>
      <c r="E8" s="85"/>
      <c r="F8" s="85"/>
      <c r="G8" s="86"/>
      <c r="J8" s="16" t="s">
        <v>536</v>
      </c>
      <c r="K8" s="16" t="s">
        <v>47</v>
      </c>
      <c r="L8" s="16" t="s">
        <v>498</v>
      </c>
      <c r="M8" s="337" t="s">
        <v>541</v>
      </c>
    </row>
    <row r="9" spans="1:13">
      <c r="A9" s="104" t="s">
        <v>162</v>
      </c>
      <c r="B9" s="85">
        <f>SUM(B10:B13)</f>
        <v>318565.08177483681</v>
      </c>
      <c r="C9" s="85">
        <f t="shared" ref="C9:G9" si="0">SUM(C10:C13)</f>
        <v>576943.63315641962</v>
      </c>
      <c r="D9" s="85">
        <f t="shared" si="0"/>
        <v>491694.45234731032</v>
      </c>
      <c r="E9" s="85">
        <f t="shared" si="0"/>
        <v>491694.45234731032</v>
      </c>
      <c r="F9" s="85">
        <f t="shared" si="0"/>
        <v>493232.83846444701</v>
      </c>
      <c r="G9" s="86">
        <f t="shared" si="0"/>
        <v>493232.83846444701</v>
      </c>
      <c r="J9" s="16" t="s">
        <v>537</v>
      </c>
      <c r="K9" s="16">
        <f>$K$5*L9</f>
        <v>12</v>
      </c>
      <c r="L9" s="16">
        <v>15</v>
      </c>
      <c r="M9" s="16">
        <f>'E-Costos'!J10</f>
        <v>160</v>
      </c>
    </row>
    <row r="10" spans="1:13">
      <c r="A10" s="107" t="s">
        <v>163</v>
      </c>
      <c r="B10" s="65">
        <f>K9*M9+K10*M10+K11*M11+K12*M12</f>
        <v>57723.199999999997</v>
      </c>
      <c r="C10" s="65">
        <f>L10*M10+L9*M9+L11*M11+L12*M12</f>
        <v>72154</v>
      </c>
      <c r="D10" s="65">
        <f>C10</f>
        <v>72154</v>
      </c>
      <c r="E10" s="65">
        <f>C10</f>
        <v>72154</v>
      </c>
      <c r="F10" s="65">
        <f>C10</f>
        <v>72154</v>
      </c>
      <c r="G10" s="66">
        <f>C10</f>
        <v>72154</v>
      </c>
      <c r="J10" s="16" t="s">
        <v>538</v>
      </c>
      <c r="K10" s="16">
        <f t="shared" ref="K10:K12" si="1">$K$5*L10</f>
        <v>1.6960000000000002</v>
      </c>
      <c r="L10" s="16">
        <v>2.12</v>
      </c>
      <c r="M10" s="16">
        <f>'E-Costos'!J11</f>
        <v>1500</v>
      </c>
    </row>
    <row r="11" spans="1:13">
      <c r="A11" s="107" t="s">
        <v>164</v>
      </c>
      <c r="B11" s="65">
        <f>K5*C11</f>
        <v>260841.88177483683</v>
      </c>
      <c r="C11" s="65">
        <f>(('E-Costos'!B30+'E-Costos'!B12)*'E-InvAT'!$K$16+('E-Costos'!B54+'E-Costos'!B71)*'E-InvAT'!$K$15)/12</f>
        <v>326052.35221854603</v>
      </c>
      <c r="D11" s="65">
        <f>(('E-Costos'!C30+'E-Costos'!C12)*'E-InvAT'!$K$16+('E-Costos'!C54+'E-Costos'!C71)*'E-InvAT'!$K$15)/12</f>
        <v>389376.25808521925</v>
      </c>
      <c r="E11" s="65">
        <f>(('E-Costos'!D30+'E-Costos'!D12)*'E-InvAT'!$K$16+('E-Costos'!D54+'E-Costos'!D71)*'E-InvAT'!$K$15)/12</f>
        <v>389376.25808521925</v>
      </c>
      <c r="F11" s="65">
        <f>(('E-Costos'!E30+'E-Costos'!E12)*'E-InvAT'!$K$16+('E-Costos'!E54+'E-Costos'!E71)*'E-InvAT'!$K$15)/12</f>
        <v>390880.59648001316</v>
      </c>
      <c r="G11" s="66">
        <f>(('E-Costos'!F30+'E-Costos'!F12)*'E-InvAT'!$K$16+('E-Costos'!F54+'E-Costos'!F71)*'E-InvAT'!$K$15)/12</f>
        <v>390880.59648001316</v>
      </c>
      <c r="J11" s="16" t="s">
        <v>539</v>
      </c>
      <c r="K11" s="16">
        <f t="shared" si="1"/>
        <v>74.56</v>
      </c>
      <c r="L11" s="16">
        <v>93.2</v>
      </c>
      <c r="M11" s="16">
        <f>'E-Costos'!J12</f>
        <v>395</v>
      </c>
    </row>
    <row r="12" spans="1:13">
      <c r="A12" s="107" t="s">
        <v>165</v>
      </c>
      <c r="B12" s="65">
        <v>0</v>
      </c>
      <c r="C12" s="65">
        <f>'E-Costos'!B35</f>
        <v>31110.776966320547</v>
      </c>
      <c r="D12" s="65">
        <f>'E-Costos'!C35</f>
        <v>30164.194262091092</v>
      </c>
      <c r="E12" s="65">
        <f>'E-Costos'!D35</f>
        <v>30164.194262091092</v>
      </c>
      <c r="F12" s="65">
        <f>'E-Costos'!E35</f>
        <v>30198.241984433822</v>
      </c>
      <c r="G12" s="66">
        <f>'E-Costos'!F35</f>
        <v>30198.241984433822</v>
      </c>
      <c r="J12" s="16" t="s">
        <v>540</v>
      </c>
      <c r="K12" s="16">
        <f t="shared" si="1"/>
        <v>15.872</v>
      </c>
      <c r="L12" s="16">
        <v>19.84</v>
      </c>
      <c r="M12" s="16">
        <f>'E-Costos'!J13</f>
        <v>1500</v>
      </c>
    </row>
    <row r="13" spans="1:13">
      <c r="A13" s="107" t="s">
        <v>166</v>
      </c>
      <c r="B13" s="65">
        <v>0</v>
      </c>
      <c r="C13" s="65">
        <f>-'E-Costos'!B105</f>
        <v>147626.50397155303</v>
      </c>
      <c r="D13" s="65">
        <f>-'E-Costos'!D105</f>
        <v>0</v>
      </c>
      <c r="E13" s="65">
        <f>-'E-Costos'!E105</f>
        <v>0</v>
      </c>
      <c r="F13" s="65">
        <f>-'E-Costos'!F105</f>
        <v>0</v>
      </c>
      <c r="G13" s="66">
        <f>-'E-Costos'!G105</f>
        <v>0</v>
      </c>
    </row>
    <row r="14" spans="1:13">
      <c r="A14" s="107"/>
      <c r="B14" s="85"/>
      <c r="C14" s="85"/>
      <c r="D14" s="85"/>
      <c r="E14" s="85"/>
      <c r="F14" s="85"/>
      <c r="G14" s="86"/>
      <c r="J14" s="16" t="s">
        <v>543</v>
      </c>
    </row>
    <row r="15" spans="1:13">
      <c r="A15" s="104" t="s">
        <v>167</v>
      </c>
      <c r="B15" s="65">
        <f>B6+B7+B9</f>
        <v>894565.08177483687</v>
      </c>
      <c r="C15" s="65">
        <f t="shared" ref="C15:G15" si="2">C6+C7+C9</f>
        <v>3664066.9208276528</v>
      </c>
      <c r="D15" s="65">
        <f t="shared" si="2"/>
        <v>4170598.5619363515</v>
      </c>
      <c r="E15" s="65">
        <f t="shared" si="2"/>
        <v>4170598.5619363515</v>
      </c>
      <c r="F15" s="65">
        <f t="shared" si="2"/>
        <v>4172136.948053488</v>
      </c>
      <c r="G15" s="66">
        <f t="shared" si="2"/>
        <v>4172136.948053488</v>
      </c>
      <c r="J15" s="16" t="s">
        <v>544</v>
      </c>
      <c r="K15" s="16">
        <v>1</v>
      </c>
      <c r="L15" s="16" t="s">
        <v>545</v>
      </c>
    </row>
    <row r="16" spans="1:13">
      <c r="A16" s="104" t="s">
        <v>168</v>
      </c>
      <c r="B16" s="85">
        <v>0</v>
      </c>
      <c r="C16" s="85">
        <f>SUM(C17:C20)</f>
        <v>993813.85667282424</v>
      </c>
      <c r="D16" s="85">
        <f t="shared" ref="D16:G16" si="3">SUM(D17:D20)</f>
        <v>1270533.9186194064</v>
      </c>
      <c r="E16" s="85">
        <f t="shared" si="3"/>
        <v>1270399.9545724676</v>
      </c>
      <c r="F16" s="85">
        <f t="shared" si="3"/>
        <v>1269658.2140843722</v>
      </c>
      <c r="G16" s="86">
        <f t="shared" si="3"/>
        <v>1269644.4982670054</v>
      </c>
      <c r="J16" s="16" t="s">
        <v>546</v>
      </c>
      <c r="K16" s="16">
        <v>1</v>
      </c>
      <c r="L16" s="16" t="s">
        <v>545</v>
      </c>
    </row>
    <row r="17" spans="1:13">
      <c r="A17" s="107" t="s">
        <v>169</v>
      </c>
      <c r="B17" s="65">
        <v>0</v>
      </c>
      <c r="C17" s="65">
        <f>'E-Costos'!B28</f>
        <v>1743.2860443941101</v>
      </c>
      <c r="D17" s="65">
        <f>'E-Costos'!C28</f>
        <v>1428.7256449880724</v>
      </c>
      <c r="E17" s="65">
        <f>'E-Costos'!D28</f>
        <v>1428.7256449880724</v>
      </c>
      <c r="F17" s="65">
        <f>'E-Costos'!E28</f>
        <v>1407.9013499772266</v>
      </c>
      <c r="G17" s="66">
        <f>'E-Costos'!F28</f>
        <v>1407.9013499772266</v>
      </c>
    </row>
    <row r="18" spans="1:13">
      <c r="A18" s="107" t="s">
        <v>170</v>
      </c>
      <c r="B18" s="65">
        <v>0</v>
      </c>
      <c r="C18" s="65">
        <f>('E-Costos'!B10-'E-Costos'!B28)*3/'E-Costos'!P11</f>
        <v>10459.716266364661</v>
      </c>
      <c r="D18" s="65">
        <f>('E-Costos'!C10-'E-Costos'!C28)*3/'E-Costos'!$P$12</f>
        <v>8547.5603663277743</v>
      </c>
      <c r="E18" s="65">
        <f>('E-Costos'!D10-'E-Costos'!D28)*3/'E-Costos'!$P$12</f>
        <v>8547.5603663277743</v>
      </c>
      <c r="F18" s="65">
        <f>('E-Costos'!E10-'E-Costos'!E28)*3/'E-Costos'!$P$12</f>
        <v>8422.9759723149473</v>
      </c>
      <c r="G18" s="66">
        <f>('E-Costos'!F10-'E-Costos'!F28)*3/'E-Costos'!$P$12</f>
        <v>8422.9759723149473</v>
      </c>
    </row>
    <row r="19" spans="1:13">
      <c r="A19" s="107" t="s">
        <v>171</v>
      </c>
      <c r="B19" s="65">
        <v>0</v>
      </c>
      <c r="C19" s="65">
        <f>'E-Costos'!B121*'E-InvAT'!C7</f>
        <v>937665.72288490168</v>
      </c>
      <c r="D19" s="65">
        <f>'E-Costos'!C121*'E-InvAT'!D7</f>
        <v>1215919.6475465267</v>
      </c>
      <c r="E19" s="65">
        <f>'E-Costos'!D121*'E-InvAT'!E7</f>
        <v>1215968.7012776241</v>
      </c>
      <c r="F19" s="65">
        <f>'E-Costos'!E121*'E-InvAT'!F7</f>
        <v>1215360.4180794547</v>
      </c>
      <c r="G19" s="66">
        <f>'E-Costos'!F121*'E-InvAT'!G7</f>
        <v>1215358.6536611856</v>
      </c>
    </row>
    <row r="20" spans="1:13">
      <c r="A20" s="107" t="s">
        <v>172</v>
      </c>
      <c r="B20" s="65">
        <v>0</v>
      </c>
      <c r="C20" s="65">
        <f>('E-Inv AF y Am'!D56-'E-InvAT'!C17-'E-InvAT'!C18)*'E-InvAT'!K6/365</f>
        <v>43945.131477163755</v>
      </c>
      <c r="D20" s="65">
        <f>('E-Inv AF y Am'!$E$56-'E-InvAT'!D17-'E-InvAT'!D18+C17+C18)*'E-InvAT'!$K$6/365</f>
        <v>44637.985061563901</v>
      </c>
      <c r="E20" s="65">
        <f>('E-Inv AF y Am'!$E$56-'E-InvAT'!E17-'E-InvAT'!E18+D17+D18)*'E-InvAT'!$K$6/365</f>
        <v>44454.967283527491</v>
      </c>
      <c r="F20" s="65">
        <f>('E-Inv AF y Am'!$E$56-'E-InvAT'!F17-'E-InvAT'!F18+E17+E18)*'E-InvAT'!$K$6/365</f>
        <v>44466.918682625335</v>
      </c>
      <c r="G20" s="66">
        <f>('E-Inv AF y Am'!$E$56-'E-InvAT'!G17-'E-InvAT'!G18+F17+F18)*'E-InvAT'!$K$6/365</f>
        <v>44454.967283527491</v>
      </c>
    </row>
    <row r="21" spans="1:13">
      <c r="A21" s="107"/>
      <c r="B21" s="85"/>
      <c r="C21" s="85"/>
      <c r="D21" s="85"/>
      <c r="E21" s="85"/>
      <c r="F21" s="85"/>
      <c r="G21" s="86"/>
      <c r="J21" s="344"/>
      <c r="K21" s="344" t="s">
        <v>48</v>
      </c>
      <c r="L21" s="345" t="s">
        <v>549</v>
      </c>
      <c r="M21" s="345" t="s">
        <v>76</v>
      </c>
    </row>
    <row r="22" spans="1:13">
      <c r="A22" s="104" t="s">
        <v>173</v>
      </c>
      <c r="B22" s="65">
        <f>B15-B16</f>
        <v>894565.08177483687</v>
      </c>
      <c r="C22" s="65">
        <f t="shared" ref="C22:G22" si="4">C15-C16</f>
        <v>2670253.0641548284</v>
      </c>
      <c r="D22" s="65">
        <f t="shared" si="4"/>
        <v>2900064.6433169451</v>
      </c>
      <c r="E22" s="65">
        <f t="shared" si="4"/>
        <v>2900198.6073638839</v>
      </c>
      <c r="F22" s="65">
        <f t="shared" si="4"/>
        <v>2902478.7339691157</v>
      </c>
      <c r="G22" s="66">
        <f t="shared" si="4"/>
        <v>2902492.4497864824</v>
      </c>
      <c r="J22" s="344" t="s">
        <v>413</v>
      </c>
      <c r="K22" s="346">
        <f>0.21*'E-Costos'!B25</f>
        <v>1009.216722972973</v>
      </c>
      <c r="L22" s="346">
        <f>0.21*'E-Costos'!C25</f>
        <v>1009.1999166666666</v>
      </c>
      <c r="M22" s="346">
        <f>0.21*'E-Costos'!E25</f>
        <v>1009.1999166666666</v>
      </c>
    </row>
    <row r="23" spans="1:13">
      <c r="A23" s="107"/>
      <c r="B23" s="85"/>
      <c r="C23" s="85"/>
      <c r="D23" s="85"/>
      <c r="E23" s="85"/>
      <c r="F23" s="85"/>
      <c r="G23" s="86"/>
      <c r="J23" s="344" t="s">
        <v>94</v>
      </c>
      <c r="K23" s="346">
        <f>0.21*'E-Costos'!B30</f>
        <v>2682.6986086073216</v>
      </c>
      <c r="L23" s="346">
        <f>0.21*'E-Costos'!C30</f>
        <v>2682.6986086073216</v>
      </c>
      <c r="M23" s="346">
        <f>0.21*'E-Costos'!F30</f>
        <v>2693.6313634880157</v>
      </c>
    </row>
    <row r="24" spans="1:13">
      <c r="A24" s="104" t="s">
        <v>174</v>
      </c>
      <c r="B24" s="65">
        <f>B22</f>
        <v>894565.08177483687</v>
      </c>
      <c r="C24" s="65">
        <f>C15-B15</f>
        <v>2769501.8390528159</v>
      </c>
      <c r="D24" s="65">
        <f t="shared" ref="D24:G24" si="5">D15-C15</f>
        <v>506531.64110869868</v>
      </c>
      <c r="E24" s="65">
        <f t="shared" si="5"/>
        <v>0</v>
      </c>
      <c r="F24" s="65">
        <f t="shared" si="5"/>
        <v>1538.3861171365716</v>
      </c>
      <c r="G24" s="66">
        <f t="shared" si="5"/>
        <v>0</v>
      </c>
      <c r="J24" s="344" t="s">
        <v>547</v>
      </c>
      <c r="K24" s="346">
        <f>0.21*'E-Costos'!B31</f>
        <v>61.216912302448094</v>
      </c>
      <c r="L24" s="346">
        <f>0.21*'E-Costos'!C31</f>
        <v>55.827894143167029</v>
      </c>
      <c r="M24" s="346">
        <f>0.21*'E-Costos'!F31</f>
        <v>55.827894143167029</v>
      </c>
    </row>
    <row r="25" spans="1:13">
      <c r="A25" s="104" t="s">
        <v>175</v>
      </c>
      <c r="B25" s="65">
        <f>B22</f>
        <v>894565.08177483687</v>
      </c>
      <c r="C25" s="65">
        <f>C22-B22</f>
        <v>1775687.9823799916</v>
      </c>
      <c r="D25" s="65">
        <f t="shared" ref="D25:G25" si="6">D22-C22</f>
        <v>229811.57916211663</v>
      </c>
      <c r="E25" s="65">
        <f t="shared" si="6"/>
        <v>133.9640469388105</v>
      </c>
      <c r="F25" s="65">
        <f t="shared" si="6"/>
        <v>2280.1266052317806</v>
      </c>
      <c r="G25" s="66">
        <f t="shared" si="6"/>
        <v>13.715817366726696</v>
      </c>
      <c r="J25" s="344" t="s">
        <v>148</v>
      </c>
      <c r="K25" s="346">
        <f>SUM(K22:K24)</f>
        <v>3753.1322438827428</v>
      </c>
      <c r="L25" s="346">
        <f>SUM(L22:L24)</f>
        <v>3747.7264194171553</v>
      </c>
      <c r="M25" s="346">
        <f>SUM(M22:M24)</f>
        <v>3758.6591742978494</v>
      </c>
    </row>
    <row r="26" spans="1:13">
      <c r="A26" s="107"/>
      <c r="B26" s="85"/>
      <c r="C26" s="85"/>
      <c r="D26" s="85"/>
      <c r="E26" s="85"/>
      <c r="F26" s="85"/>
      <c r="G26" s="86"/>
      <c r="J26" s="344" t="s">
        <v>548</v>
      </c>
      <c r="K26" s="346">
        <f>K25</f>
        <v>3753.1322438827428</v>
      </c>
      <c r="L26" s="346">
        <f>K25-L25</f>
        <v>5.4058244655875569</v>
      </c>
      <c r="M26" s="346">
        <f>L25-M25</f>
        <v>-10.932754880694119</v>
      </c>
    </row>
    <row r="27" spans="1:13">
      <c r="A27" s="104" t="s">
        <v>176</v>
      </c>
      <c r="B27" s="85"/>
      <c r="C27" s="85"/>
      <c r="D27" s="85"/>
      <c r="E27" s="85"/>
      <c r="F27" s="85"/>
      <c r="G27" s="86"/>
    </row>
    <row r="28" spans="1:13">
      <c r="A28" s="107" t="s">
        <v>177</v>
      </c>
      <c r="B28" s="65"/>
      <c r="C28" s="65"/>
      <c r="D28" s="65"/>
      <c r="E28" s="65"/>
      <c r="F28" s="65"/>
      <c r="G28" s="66"/>
    </row>
    <row r="29" spans="1:13">
      <c r="A29" s="107" t="s">
        <v>178</v>
      </c>
      <c r="B29" s="65"/>
      <c r="C29" s="65"/>
      <c r="D29" s="65"/>
      <c r="E29" s="65"/>
      <c r="F29" s="65"/>
      <c r="G29" s="66"/>
      <c r="J29" s="344"/>
      <c r="K29" s="344" t="s">
        <v>48</v>
      </c>
      <c r="L29" s="345" t="s">
        <v>549</v>
      </c>
      <c r="M29" s="345" t="s">
        <v>76</v>
      </c>
    </row>
    <row r="30" spans="1:13">
      <c r="A30" s="107" t="s">
        <v>179</v>
      </c>
      <c r="B30" s="65">
        <f>InfoInicial!B3*B10</f>
        <v>12121.871999999999</v>
      </c>
      <c r="C30" s="65">
        <f>(0.21*C10)-B30</f>
        <v>3030.4680000000008</v>
      </c>
      <c r="D30" s="65">
        <v>0</v>
      </c>
      <c r="E30" s="65">
        <v>0</v>
      </c>
      <c r="F30" s="65">
        <v>0</v>
      </c>
      <c r="G30" s="66">
        <v>0</v>
      </c>
      <c r="J30" s="344" t="s">
        <v>413</v>
      </c>
      <c r="K30" s="346">
        <f>(('E-Costos'!B7-'E-Costos'!B25-'E-Costos'!G25)/'E-Costos'!$P$11)*3*0.21</f>
        <v>3152.4340153602629</v>
      </c>
      <c r="L30" s="346">
        <f>('E-Costos'!C7-'E-Costos'!C25-'E-Costos'!G25)*3*0.21/'E-Costos'!$P$12</f>
        <v>3134.868287780188</v>
      </c>
      <c r="M30" s="346">
        <f>('E-Costos'!E7-'E-Costos'!E25-'E-Costos'!G25)*3*0.21/'E-Costos'!$P$12</f>
        <v>3134.868287780188</v>
      </c>
    </row>
    <row r="31" spans="1:13">
      <c r="A31" s="107" t="s">
        <v>180</v>
      </c>
      <c r="B31" s="65">
        <f>0.21*B11</f>
        <v>54776.795172715734</v>
      </c>
      <c r="C31" s="65">
        <f>(0.21*C11)-B31*0.21</f>
        <v>56967.866979624363</v>
      </c>
      <c r="D31" s="65">
        <f>0.21*D11-0.21*C11</f>
        <v>13298.020232001378</v>
      </c>
      <c r="E31" s="65">
        <f t="shared" ref="E31:G31" si="7">0.21*E11-0.21*D11</f>
        <v>0</v>
      </c>
      <c r="F31" s="65">
        <f t="shared" si="7"/>
        <v>315.91106290671451</v>
      </c>
      <c r="G31" s="66">
        <f t="shared" si="7"/>
        <v>0</v>
      </c>
      <c r="J31" s="344" t="s">
        <v>94</v>
      </c>
      <c r="K31" s="346">
        <f>(('E-Costos'!B12-'E-Costos'!B30-'E-Costos'!G30)/'E-Costos'!$P$11)*3*0.21</f>
        <v>16096.191651643931</v>
      </c>
      <c r="L31" s="346">
        <f>('E-Costos'!C12-'E-Costos'!C30-'E-Costos'!G30)*3*0.21/'E-Costos'!$P$12</f>
        <v>15825.934678922078</v>
      </c>
      <c r="M31" s="346">
        <f>('E-Costos'!E12-'E-Costos'!E30-'E-Costos'!G30)*3*0.21/'E-Costos'!$P$12</f>
        <v>15891.341485778814</v>
      </c>
    </row>
    <row r="32" spans="1:13">
      <c r="A32" s="107" t="s">
        <v>181</v>
      </c>
      <c r="B32" s="65">
        <v>0</v>
      </c>
      <c r="C32" s="65">
        <f>K26</f>
        <v>3753.1322438827428</v>
      </c>
      <c r="D32" s="65">
        <f>L26</f>
        <v>5.4058244655875569</v>
      </c>
      <c r="E32" s="65">
        <v>0</v>
      </c>
      <c r="F32" s="65">
        <f>M26</f>
        <v>-10.932754880694119</v>
      </c>
      <c r="G32" s="66">
        <v>0</v>
      </c>
      <c r="J32" s="344" t="s">
        <v>547</v>
      </c>
      <c r="K32" s="346">
        <f>(('E-Costos'!B13-'E-Costos'!B31-'E-Costos'!G31)/'E-Costos'!$P$11)*3*0.21</f>
        <v>334.9673648590022</v>
      </c>
      <c r="L32" s="346">
        <f>('E-Costos'!C13-'E-Costos'!C31-'E-Costos'!G31)*3*0.21/'E-Costos'!$P$12</f>
        <v>308.65469463183138</v>
      </c>
      <c r="M32" s="346">
        <f>('E-Costos'!E13-'E-Costos'!E31-'E-Costos'!G31)*3*0.21/'E-Costos'!$P$12</f>
        <v>308.65469463183138</v>
      </c>
    </row>
    <row r="33" spans="1:13">
      <c r="A33" s="107" t="s">
        <v>182</v>
      </c>
      <c r="B33" s="347">
        <v>0</v>
      </c>
      <c r="C33" s="347">
        <f>K34</f>
        <v>19583.593031863198</v>
      </c>
      <c r="D33" s="347">
        <f>L34</f>
        <v>314.13537052910033</v>
      </c>
      <c r="E33" s="347">
        <v>0</v>
      </c>
      <c r="F33" s="347">
        <f>M34</f>
        <v>-65.406806856735784</v>
      </c>
      <c r="G33" s="348">
        <v>0</v>
      </c>
      <c r="J33" s="344" t="s">
        <v>148</v>
      </c>
      <c r="K33" s="346">
        <f>SUM(K30:K32)</f>
        <v>19583.593031863198</v>
      </c>
      <c r="L33" s="346">
        <f>SUM(L30:L32)</f>
        <v>19269.457661334098</v>
      </c>
      <c r="M33" s="346">
        <f>SUM(M30:M32)</f>
        <v>19334.864468190834</v>
      </c>
    </row>
    <row r="34" spans="1:13">
      <c r="A34" s="104" t="s">
        <v>183</v>
      </c>
      <c r="B34" s="349">
        <f>SUM(B30:B33)</f>
        <v>66898.667172715737</v>
      </c>
      <c r="C34" s="349">
        <f t="shared" ref="C34:G34" si="8">SUM(C30:C33)</f>
        <v>83335.060255370307</v>
      </c>
      <c r="D34" s="349">
        <f t="shared" si="8"/>
        <v>13617.561426996066</v>
      </c>
      <c r="E34" s="349">
        <f t="shared" si="8"/>
        <v>0</v>
      </c>
      <c r="F34" s="349">
        <f t="shared" si="8"/>
        <v>239.5715011692846</v>
      </c>
      <c r="G34" s="352">
        <f t="shared" si="8"/>
        <v>0</v>
      </c>
      <c r="J34" s="344" t="s">
        <v>548</v>
      </c>
      <c r="K34" s="346">
        <f>K33</f>
        <v>19583.593031863198</v>
      </c>
      <c r="L34" s="346">
        <f>K33-L33</f>
        <v>314.13537052910033</v>
      </c>
      <c r="M34" s="346">
        <f>L33-M33</f>
        <v>-65.406806856735784</v>
      </c>
    </row>
    <row r="35" spans="1:13">
      <c r="A35" s="107"/>
      <c r="B35" s="68"/>
      <c r="C35" s="68"/>
      <c r="D35" s="68"/>
      <c r="E35" s="68"/>
      <c r="F35" s="68"/>
      <c r="G35" s="69"/>
    </row>
    <row r="36" spans="1:13" ht="13.5" thickBot="1">
      <c r="A36" s="108" t="s">
        <v>184</v>
      </c>
      <c r="B36" s="71">
        <f>B25+B34</f>
        <v>961463.74894755264</v>
      </c>
      <c r="C36" s="71">
        <f t="shared" ref="C36:G36" si="9">C25+C34</f>
        <v>1859023.0426353619</v>
      </c>
      <c r="D36" s="71">
        <f t="shared" si="9"/>
        <v>243429.14058911271</v>
      </c>
      <c r="E36" s="71">
        <f t="shared" si="9"/>
        <v>133.9640469388105</v>
      </c>
      <c r="F36" s="71">
        <f t="shared" si="9"/>
        <v>2519.6981064010652</v>
      </c>
      <c r="G36" s="72">
        <f t="shared" si="9"/>
        <v>13.715817366726696</v>
      </c>
    </row>
    <row r="37" spans="1:13" ht="13.5" thickTop="1"/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 r:id="rId1"/>
  <headerFooter alignWithMargins="0"/>
  <ignoredErrors>
    <ignoredError sqref="C6:G6 B10:G11 C12:G13 B15:G15 C17:G17 C18 D18:G18 C19:G19 C20:D20 E20:G20 B22:G22 B24:B25 D24:E24 C24:C25 F24:G24 D25:G25 B30:C30 B31:G31 C32:D32 F32:F33 B34:G34 C33:D33 B36:G36 C7 D7:G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4" workbookViewId="0">
      <selection activeCell="F27" sqref="F27"/>
    </sheetView>
  </sheetViews>
  <sheetFormatPr baseColWidth="10" defaultColWidth="11.42578125" defaultRowHeight="12.75"/>
  <cols>
    <col min="1" max="1" width="28.140625" style="16" customWidth="1"/>
    <col min="2" max="8" width="14" style="16" customWidth="1"/>
    <col min="9" max="9" width="14.85546875" style="16" bestFit="1" customWidth="1"/>
    <col min="10" max="10" width="17.42578125" style="16" customWidth="1"/>
    <col min="11" max="16384" width="11.42578125" style="16"/>
  </cols>
  <sheetData>
    <row r="1" spans="1:9">
      <c r="A1" s="1" t="s">
        <v>0</v>
      </c>
      <c r="B1"/>
      <c r="C1"/>
      <c r="D1"/>
      <c r="G1" s="2">
        <f>InfoInicial!E1</f>
        <v>5</v>
      </c>
    </row>
    <row r="3" spans="1:9" ht="15.75">
      <c r="A3" s="57" t="s">
        <v>185</v>
      </c>
      <c r="B3" s="58"/>
      <c r="C3" s="58"/>
      <c r="D3" s="58"/>
      <c r="E3" s="58"/>
      <c r="F3" s="58"/>
      <c r="G3" s="58"/>
      <c r="H3" s="58"/>
      <c r="I3" s="59"/>
    </row>
    <row r="4" spans="1:9" ht="25.5">
      <c r="A4" s="60" t="s">
        <v>84</v>
      </c>
      <c r="B4" s="109" t="s">
        <v>186</v>
      </c>
      <c r="C4" s="109" t="s">
        <v>187</v>
      </c>
      <c r="D4" s="21" t="s">
        <v>48</v>
      </c>
      <c r="E4" s="21" t="s">
        <v>85</v>
      </c>
      <c r="F4" s="21" t="s">
        <v>86</v>
      </c>
      <c r="G4" s="21" t="s">
        <v>87</v>
      </c>
      <c r="H4" s="110" t="s">
        <v>88</v>
      </c>
      <c r="I4" s="22" t="s">
        <v>188</v>
      </c>
    </row>
    <row r="5" spans="1:9" ht="13.5" thickTop="1">
      <c r="A5" s="104" t="s">
        <v>189</v>
      </c>
      <c r="B5" s="105"/>
      <c r="C5" s="105"/>
      <c r="D5" s="105"/>
      <c r="E5" s="105"/>
      <c r="F5" s="105"/>
      <c r="G5" s="105"/>
      <c r="H5" s="111"/>
      <c r="I5" s="106"/>
    </row>
    <row r="6" spans="1:9">
      <c r="A6" s="112" t="s">
        <v>190</v>
      </c>
      <c r="B6" s="65"/>
      <c r="C6" s="65">
        <f>'E-Inv AF y Am'!B20+'E-Inv AF y Am'!D20</f>
        <v>5040838.434917355</v>
      </c>
      <c r="D6" s="65"/>
      <c r="E6" s="65"/>
      <c r="F6" s="65"/>
      <c r="G6" s="65"/>
      <c r="H6" s="113"/>
      <c r="I6" s="66">
        <f>SUM(B6:H6)</f>
        <v>5040838.434917355</v>
      </c>
    </row>
    <row r="7" spans="1:9">
      <c r="A7" s="112" t="s">
        <v>191</v>
      </c>
      <c r="B7" s="65">
        <f>'E-Inv AF y Am'!B23</f>
        <v>25000</v>
      </c>
      <c r="C7" s="65">
        <f>'E-Inv AF y Am'!B31-'E-Inv AF y Am'!B23</f>
        <v>872087.73178807995</v>
      </c>
      <c r="D7" s="65">
        <f>'E-Inv AF y Am'!C31</f>
        <v>218197.01986755576</v>
      </c>
      <c r="E7" s="65"/>
      <c r="F7" s="65"/>
      <c r="G7" s="65"/>
      <c r="H7" s="113"/>
      <c r="I7" s="66">
        <f t="shared" ref="I7:I25" si="0">SUM(B7:H7)</f>
        <v>1115284.7516556357</v>
      </c>
    </row>
    <row r="8" spans="1:9">
      <c r="A8" s="104" t="s">
        <v>192</v>
      </c>
      <c r="B8" s="94">
        <f>SUM(B6:B7)</f>
        <v>25000</v>
      </c>
      <c r="C8" s="94">
        <f t="shared" ref="C8:D8" si="1">SUM(C6:C7)</f>
        <v>5912926.1667054351</v>
      </c>
      <c r="D8" s="94">
        <f t="shared" si="1"/>
        <v>218197.01986755576</v>
      </c>
      <c r="E8" s="94"/>
      <c r="F8" s="94"/>
      <c r="G8" s="94"/>
      <c r="H8" s="217"/>
      <c r="I8" s="95">
        <f t="shared" si="0"/>
        <v>6156123.1865729913</v>
      </c>
    </row>
    <row r="9" spans="1:9">
      <c r="A9" s="112"/>
      <c r="B9" s="85"/>
      <c r="C9" s="85"/>
      <c r="D9" s="85"/>
      <c r="E9" s="85"/>
      <c r="F9" s="85"/>
      <c r="G9" s="85"/>
      <c r="H9" s="114"/>
      <c r="I9" s="66">
        <f t="shared" si="0"/>
        <v>0</v>
      </c>
    </row>
    <row r="10" spans="1:9">
      <c r="A10" s="104" t="s">
        <v>193</v>
      </c>
      <c r="B10" s="65"/>
      <c r="C10" s="65"/>
      <c r="D10" s="65"/>
      <c r="E10" s="65"/>
      <c r="F10" s="65"/>
      <c r="G10" s="65"/>
      <c r="H10" s="113"/>
      <c r="I10" s="66">
        <f t="shared" si="0"/>
        <v>0</v>
      </c>
    </row>
    <row r="11" spans="1:9">
      <c r="A11" s="112" t="s">
        <v>194</v>
      </c>
      <c r="B11" s="65"/>
      <c r="C11" s="65">
        <f>'E-InvAT'!B6</f>
        <v>576000</v>
      </c>
      <c r="D11" s="65">
        <f>'E-InvAT'!C6-'E-InvAT'!B6</f>
        <v>144000</v>
      </c>
      <c r="E11" s="65"/>
      <c r="F11" s="65"/>
      <c r="G11" s="65"/>
      <c r="H11" s="113"/>
      <c r="I11" s="66">
        <f t="shared" si="0"/>
        <v>720000</v>
      </c>
    </row>
    <row r="12" spans="1:9">
      <c r="A12" s="112" t="s">
        <v>195</v>
      </c>
      <c r="B12" s="65"/>
      <c r="C12" s="65"/>
      <c r="D12" s="65">
        <f>'E-InvAT'!C7</f>
        <v>2367123.2876712331</v>
      </c>
      <c r="E12" s="65">
        <f>'E-InvAT'!D7-'E-InvAT'!C7</f>
        <v>591780.82191780815</v>
      </c>
      <c r="F12" s="65">
        <f>'E-InvAT'!E7-'E-InvAT'!D7</f>
        <v>0</v>
      </c>
      <c r="G12" s="65">
        <f>'E-InvAT'!F7-'E-InvAT'!E7</f>
        <v>0</v>
      </c>
      <c r="H12" s="65">
        <f>'E-InvAT'!G7-'E-InvAT'!F7</f>
        <v>0</v>
      </c>
      <c r="I12" s="66">
        <f t="shared" si="0"/>
        <v>2958904.1095890412</v>
      </c>
    </row>
    <row r="13" spans="1:9">
      <c r="A13" s="112" t="s">
        <v>196</v>
      </c>
      <c r="B13" s="65"/>
      <c r="C13" s="65"/>
      <c r="D13" s="65"/>
      <c r="E13" s="65"/>
      <c r="F13" s="65"/>
      <c r="G13" s="65"/>
      <c r="H13" s="113"/>
      <c r="I13" s="66">
        <f t="shared" si="0"/>
        <v>0</v>
      </c>
    </row>
    <row r="14" spans="1:9">
      <c r="A14" s="112" t="s">
        <v>197</v>
      </c>
      <c r="B14" s="65"/>
      <c r="C14" s="65">
        <f>'E-InvAT'!B10</f>
        <v>57723.199999999997</v>
      </c>
      <c r="D14" s="65">
        <f>'E-InvAT'!C10-'E-InvAT'!B10</f>
        <v>14430.800000000003</v>
      </c>
      <c r="E14" s="65">
        <f>'E-InvAT'!D10-'E-InvAT'!C10</f>
        <v>0</v>
      </c>
      <c r="F14" s="65">
        <f>'E-InvAT'!E10-'E-InvAT'!D10</f>
        <v>0</v>
      </c>
      <c r="G14" s="65">
        <f>'E-InvAT'!F10-'E-InvAT'!E10</f>
        <v>0</v>
      </c>
      <c r="H14" s="65">
        <f>'E-InvAT'!G10-'E-InvAT'!F10</f>
        <v>0</v>
      </c>
      <c r="I14" s="66">
        <f t="shared" si="0"/>
        <v>72154</v>
      </c>
    </row>
    <row r="15" spans="1:9">
      <c r="A15" s="112" t="s">
        <v>198</v>
      </c>
      <c r="B15" s="65"/>
      <c r="C15" s="65">
        <f>'E-InvAT'!B11</f>
        <v>260841.88177483683</v>
      </c>
      <c r="D15" s="65">
        <f>'E-InvAT'!C11-'E-InvAT'!B11</f>
        <v>65210.4704437092</v>
      </c>
      <c r="E15" s="65">
        <f>'E-InvAT'!D11-'E-InvAT'!C11</f>
        <v>63323.905866673216</v>
      </c>
      <c r="F15" s="65">
        <f>'E-InvAT'!E11-'E-InvAT'!D11</f>
        <v>0</v>
      </c>
      <c r="G15" s="65">
        <f>'E-InvAT'!F11-'E-InvAT'!E11</f>
        <v>1504.3383947939146</v>
      </c>
      <c r="H15" s="65">
        <f>'E-InvAT'!G11-'E-InvAT'!F11</f>
        <v>0</v>
      </c>
      <c r="I15" s="66">
        <f t="shared" si="0"/>
        <v>390880.59648001316</v>
      </c>
    </row>
    <row r="16" spans="1:9">
      <c r="A16" s="112" t="s">
        <v>199</v>
      </c>
      <c r="B16" s="65"/>
      <c r="C16" s="65">
        <f>'E-InvAT'!B12</f>
        <v>0</v>
      </c>
      <c r="D16" s="65">
        <f>'E-InvAT'!C12-'E-InvAT'!B12</f>
        <v>31110.776966320547</v>
      </c>
      <c r="E16" s="65">
        <f>'E-InvAT'!D12-'E-InvAT'!C12</f>
        <v>-946.58270422945498</v>
      </c>
      <c r="F16" s="65">
        <f>'E-InvAT'!E12-'E-InvAT'!D12</f>
        <v>0</v>
      </c>
      <c r="G16" s="65">
        <f>'E-InvAT'!F12-'E-InvAT'!E12</f>
        <v>34.047722342729685</v>
      </c>
      <c r="H16" s="65">
        <f>'E-InvAT'!G12-'E-InvAT'!F12</f>
        <v>0</v>
      </c>
      <c r="I16" s="66">
        <f t="shared" si="0"/>
        <v>30198.241984433822</v>
      </c>
    </row>
    <row r="17" spans="1:9">
      <c r="A17" s="112" t="s">
        <v>200</v>
      </c>
      <c r="B17" s="65"/>
      <c r="C17" s="65">
        <f>'E-InvAT'!B13</f>
        <v>0</v>
      </c>
      <c r="D17" s="65">
        <f>'E-InvAT'!C13-'E-InvAT'!B13</f>
        <v>147626.50397155303</v>
      </c>
      <c r="E17" s="65">
        <f>'E-InvAT'!D13-'E-InvAT'!C13</f>
        <v>-147626.50397155303</v>
      </c>
      <c r="F17" s="65">
        <f>'E-InvAT'!E13-'E-InvAT'!D13</f>
        <v>0</v>
      </c>
      <c r="G17" s="65">
        <f>'E-InvAT'!F13-'E-InvAT'!E13</f>
        <v>0</v>
      </c>
      <c r="H17" s="65">
        <f>'E-InvAT'!G13-'E-InvAT'!F13</f>
        <v>0</v>
      </c>
      <c r="I17" s="66">
        <f t="shared" si="0"/>
        <v>0</v>
      </c>
    </row>
    <row r="18" spans="1:9">
      <c r="A18" s="104" t="s">
        <v>201</v>
      </c>
      <c r="B18" s="94"/>
      <c r="C18" s="94">
        <f>SUM(C11:C17)</f>
        <v>894565.08177483676</v>
      </c>
      <c r="D18" s="94">
        <f t="shared" ref="D18:H18" si="2">SUM(D11:D17)</f>
        <v>2769501.8390528155</v>
      </c>
      <c r="E18" s="94">
        <f t="shared" si="2"/>
        <v>506531.64110869879</v>
      </c>
      <c r="F18" s="94">
        <f t="shared" si="2"/>
        <v>0</v>
      </c>
      <c r="G18" s="94">
        <f t="shared" si="2"/>
        <v>1538.3861171366443</v>
      </c>
      <c r="H18" s="94">
        <f t="shared" si="2"/>
        <v>0</v>
      </c>
      <c r="I18" s="95">
        <f t="shared" si="0"/>
        <v>4172136.9480534876</v>
      </c>
    </row>
    <row r="19" spans="1:9">
      <c r="A19" s="112"/>
      <c r="B19" s="85"/>
      <c r="C19" s="85"/>
      <c r="D19" s="85"/>
      <c r="E19" s="85"/>
      <c r="F19" s="85"/>
      <c r="G19" s="85"/>
      <c r="H19" s="114"/>
      <c r="I19" s="66">
        <f t="shared" si="0"/>
        <v>0</v>
      </c>
    </row>
    <row r="20" spans="1:9">
      <c r="A20" s="104" t="s">
        <v>202</v>
      </c>
      <c r="B20" s="85"/>
      <c r="C20" s="85"/>
      <c r="D20" s="85"/>
      <c r="E20" s="85"/>
      <c r="F20" s="85"/>
      <c r="G20" s="85"/>
      <c r="H20" s="114"/>
      <c r="I20" s="66">
        <f t="shared" si="0"/>
        <v>0</v>
      </c>
    </row>
    <row r="21" spans="1:9">
      <c r="A21" s="112" t="s">
        <v>203</v>
      </c>
      <c r="B21" s="65">
        <f>0.21*B8</f>
        <v>5250</v>
      </c>
      <c r="C21" s="65">
        <f t="shared" ref="C21:H21" si="3">0.21*C8</f>
        <v>1241714.4950081413</v>
      </c>
      <c r="D21" s="65">
        <f t="shared" si="3"/>
        <v>45821.374172186712</v>
      </c>
      <c r="E21" s="65">
        <f t="shared" si="3"/>
        <v>0</v>
      </c>
      <c r="F21" s="65">
        <f t="shared" si="3"/>
        <v>0</v>
      </c>
      <c r="G21" s="65">
        <f>0.21*G8</f>
        <v>0</v>
      </c>
      <c r="H21" s="65">
        <f t="shared" si="3"/>
        <v>0</v>
      </c>
      <c r="I21" s="66">
        <f t="shared" si="0"/>
        <v>1292785.869180328</v>
      </c>
    </row>
    <row r="22" spans="1:9">
      <c r="A22" s="112" t="s">
        <v>204</v>
      </c>
      <c r="B22" s="65">
        <f>B18*0.21</f>
        <v>0</v>
      </c>
      <c r="C22" s="65">
        <f t="shared" ref="C22:H22" si="4">C18*0.21</f>
        <v>187858.66717271571</v>
      </c>
      <c r="D22" s="65">
        <f t="shared" si="4"/>
        <v>581595.38620109123</v>
      </c>
      <c r="E22" s="65">
        <f t="shared" si="4"/>
        <v>106371.64463282675</v>
      </c>
      <c r="F22" s="65">
        <f t="shared" si="4"/>
        <v>0</v>
      </c>
      <c r="G22" s="65">
        <f t="shared" si="4"/>
        <v>323.06108459869529</v>
      </c>
      <c r="H22" s="65">
        <f t="shared" si="4"/>
        <v>0</v>
      </c>
      <c r="I22" s="66">
        <f t="shared" si="0"/>
        <v>876148.75909123232</v>
      </c>
    </row>
    <row r="23" spans="1:9">
      <c r="A23" s="104" t="s">
        <v>205</v>
      </c>
      <c r="B23" s="94">
        <f>B21+B22</f>
        <v>5250</v>
      </c>
      <c r="C23" s="94">
        <f t="shared" ref="C23:H23" si="5">C21+C22</f>
        <v>1429573.162180857</v>
      </c>
      <c r="D23" s="94">
        <f t="shared" si="5"/>
        <v>627416.76037327794</v>
      </c>
      <c r="E23" s="94">
        <f t="shared" si="5"/>
        <v>106371.64463282675</v>
      </c>
      <c r="F23" s="94">
        <f t="shared" si="5"/>
        <v>0</v>
      </c>
      <c r="G23" s="94">
        <f t="shared" si="5"/>
        <v>323.06108459869529</v>
      </c>
      <c r="H23" s="94">
        <f t="shared" si="5"/>
        <v>0</v>
      </c>
      <c r="I23" s="95">
        <f t="shared" si="0"/>
        <v>2168934.6282715602</v>
      </c>
    </row>
    <row r="24" spans="1:9">
      <c r="A24" s="104"/>
      <c r="B24" s="85"/>
      <c r="C24" s="85"/>
      <c r="D24" s="85"/>
      <c r="E24" s="85"/>
      <c r="F24" s="85"/>
      <c r="G24" s="85"/>
      <c r="H24" s="114"/>
      <c r="I24" s="66">
        <f t="shared" si="0"/>
        <v>0</v>
      </c>
    </row>
    <row r="25" spans="1:9" ht="13.5" thickBot="1">
      <c r="A25" s="108" t="s">
        <v>206</v>
      </c>
      <c r="B25" s="145">
        <f>B8+B18+B23</f>
        <v>30250</v>
      </c>
      <c r="C25" s="145">
        <f t="shared" ref="C25:H25" si="6">C8+C18+C23</f>
        <v>8237064.4106611283</v>
      </c>
      <c r="D25" s="145">
        <f t="shared" si="6"/>
        <v>3615115.6192936492</v>
      </c>
      <c r="E25" s="145">
        <f t="shared" si="6"/>
        <v>612903.28574152559</v>
      </c>
      <c r="F25" s="145">
        <f t="shared" si="6"/>
        <v>0</v>
      </c>
      <c r="G25" s="145">
        <f t="shared" si="6"/>
        <v>1861.4472017353396</v>
      </c>
      <c r="H25" s="145">
        <f t="shared" si="6"/>
        <v>0</v>
      </c>
      <c r="I25" s="174">
        <f t="shared" si="0"/>
        <v>12497194.762898039</v>
      </c>
    </row>
    <row r="26" spans="1:9" ht="13.5" thickTop="1"/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  <ignoredErrors>
    <ignoredError sqref="C6 B7:D7 B8:D8 C11:D11 D12:H12 I6:I25 C14:D14 E14:H14 C15:H15 C16:H16 C17:H17 C18:H18 B21:H21 B22:H22 B23:H23 B25:H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opLeftCell="A7" workbookViewId="0">
      <selection activeCell="I24" sqref="I24"/>
    </sheetView>
  </sheetViews>
  <sheetFormatPr baseColWidth="10" defaultColWidth="11.42578125" defaultRowHeight="12.75"/>
  <cols>
    <col min="1" max="1" width="28.140625" style="16" customWidth="1"/>
    <col min="2" max="2" width="14" style="16" customWidth="1"/>
    <col min="3" max="4" width="14.42578125" style="16" bestFit="1" customWidth="1"/>
    <col min="5" max="5" width="14" style="16" customWidth="1"/>
    <col min="6" max="6" width="14.42578125" style="16" bestFit="1" customWidth="1"/>
    <col min="7" max="7" width="14" style="16" customWidth="1"/>
    <col min="8" max="8" width="17.42578125" style="16" customWidth="1"/>
    <col min="9" max="16384" width="11.42578125" style="16"/>
  </cols>
  <sheetData>
    <row r="1" spans="1:7">
      <c r="A1" s="1" t="s">
        <v>0</v>
      </c>
      <c r="B1"/>
      <c r="C1"/>
      <c r="D1"/>
      <c r="G1" s="2">
        <f>InfoInicial!E1</f>
        <v>5</v>
      </c>
    </row>
    <row r="2" spans="1:7" ht="15.75">
      <c r="A2" s="116" t="s">
        <v>207</v>
      </c>
      <c r="B2" s="58"/>
      <c r="C2" s="58"/>
      <c r="D2" s="58"/>
      <c r="E2" s="58"/>
      <c r="F2" s="58"/>
      <c r="G2" s="59"/>
    </row>
    <row r="3" spans="1:7" ht="15.75">
      <c r="A3" s="117"/>
      <c r="B3" s="118" t="s">
        <v>208</v>
      </c>
      <c r="C3" s="118"/>
      <c r="D3" s="118"/>
      <c r="E3" s="118"/>
      <c r="F3" s="118"/>
      <c r="G3" s="119"/>
    </row>
    <row r="4" spans="1:7" ht="13.5" thickBot="1">
      <c r="A4" s="120" t="s">
        <v>84</v>
      </c>
      <c r="B4" s="109" t="s">
        <v>47</v>
      </c>
      <c r="C4" s="21" t="s">
        <v>48</v>
      </c>
      <c r="D4" s="21" t="s">
        <v>85</v>
      </c>
      <c r="E4" s="21" t="s">
        <v>86</v>
      </c>
      <c r="F4" s="21" t="s">
        <v>87</v>
      </c>
      <c r="G4" s="22" t="s">
        <v>88</v>
      </c>
    </row>
    <row r="5" spans="1:7" ht="13.5" thickTop="1">
      <c r="A5" s="121" t="s">
        <v>209</v>
      </c>
      <c r="B5" s="353"/>
      <c r="C5" s="350"/>
      <c r="D5" s="350"/>
      <c r="E5" s="350"/>
      <c r="F5" s="350"/>
      <c r="G5" s="351"/>
    </row>
    <row r="6" spans="1:7">
      <c r="A6" s="123" t="s">
        <v>210</v>
      </c>
      <c r="B6" s="354"/>
      <c r="C6" s="65">
        <f>0.21*'E-Costos'!B7</f>
        <v>149364.07499999998</v>
      </c>
      <c r="D6" s="65">
        <f>0.21*'E-Costos'!C7</f>
        <v>181655.98499999999</v>
      </c>
      <c r="E6" s="65">
        <f>0.21*'E-Costos'!D7</f>
        <v>181655.98499999999</v>
      </c>
      <c r="F6" s="65">
        <f>0.21*'E-Costos'!E7</f>
        <v>181655.98499999999</v>
      </c>
      <c r="G6" s="66">
        <f>0.21*'E-Costos'!F7</f>
        <v>181655.98499999999</v>
      </c>
    </row>
    <row r="7" spans="1:7">
      <c r="A7" s="123" t="s">
        <v>94</v>
      </c>
      <c r="B7" s="354"/>
      <c r="C7" s="65">
        <f>'E-Costos'!B12*0.21</f>
        <v>773067.04392598139</v>
      </c>
      <c r="D7" s="65">
        <f>'E-Costos'!C12*0.21</f>
        <v>927543.0439259815</v>
      </c>
      <c r="E7" s="65">
        <f>'E-Costos'!D12*0.21</f>
        <v>927543.0439259815</v>
      </c>
      <c r="F7" s="65">
        <f>'E-Costos'!E12*0.21</f>
        <v>931323.0439259815</v>
      </c>
      <c r="G7" s="66">
        <f>'E-Costos'!F12*0.21</f>
        <v>931323.0439259815</v>
      </c>
    </row>
    <row r="8" spans="1:7">
      <c r="A8" s="123" t="s">
        <v>95</v>
      </c>
      <c r="B8" s="354"/>
      <c r="C8" s="65">
        <f>0.21*'E-Costos'!B13</f>
        <v>17285.360400000001</v>
      </c>
      <c r="D8" s="65">
        <f>0.21*'E-Costos'!C13</f>
        <v>19302.4944</v>
      </c>
      <c r="E8" s="65">
        <f>0.21*'E-Costos'!D13</f>
        <v>19302.4944</v>
      </c>
      <c r="F8" s="65">
        <f>0.21*'E-Costos'!E13</f>
        <v>19302.4944</v>
      </c>
      <c r="G8" s="66">
        <f>0.21*'E-Costos'!F13</f>
        <v>19302.4944</v>
      </c>
    </row>
    <row r="9" spans="1:7">
      <c r="A9" s="123" t="s">
        <v>96</v>
      </c>
      <c r="B9" s="354"/>
      <c r="C9" s="65" t="s">
        <v>380</v>
      </c>
      <c r="D9" s="65" t="s">
        <v>380</v>
      </c>
      <c r="E9" s="65" t="s">
        <v>380</v>
      </c>
      <c r="F9" s="65" t="s">
        <v>380</v>
      </c>
      <c r="G9" s="66" t="s">
        <v>380</v>
      </c>
    </row>
    <row r="10" spans="1:7">
      <c r="A10" s="123" t="s">
        <v>211</v>
      </c>
      <c r="B10" s="354"/>
      <c r="C10" s="65" t="s">
        <v>380</v>
      </c>
      <c r="D10" s="65" t="s">
        <v>380</v>
      </c>
      <c r="E10" s="65" t="s">
        <v>380</v>
      </c>
      <c r="F10" s="65" t="s">
        <v>380</v>
      </c>
      <c r="G10" s="66" t="s">
        <v>380</v>
      </c>
    </row>
    <row r="11" spans="1:7">
      <c r="A11" s="123" t="s">
        <v>119</v>
      </c>
      <c r="B11" s="354"/>
      <c r="C11" s="65" t="s">
        <v>380</v>
      </c>
      <c r="D11" s="65" t="s">
        <v>380</v>
      </c>
      <c r="E11" s="65" t="s">
        <v>380</v>
      </c>
      <c r="F11" s="65" t="s">
        <v>380</v>
      </c>
      <c r="G11" s="66" t="s">
        <v>380</v>
      </c>
    </row>
    <row r="12" spans="1:7">
      <c r="A12" s="125" t="s">
        <v>79</v>
      </c>
      <c r="B12" s="354"/>
      <c r="C12" s="65">
        <f>SUM(C6:C11)</f>
        <v>939716.47932598135</v>
      </c>
      <c r="D12" s="65">
        <f t="shared" ref="D12:G12" si="0">SUM(D6:D11)</f>
        <v>1128501.5233259813</v>
      </c>
      <c r="E12" s="65">
        <f t="shared" si="0"/>
        <v>1128501.5233259813</v>
      </c>
      <c r="F12" s="65">
        <f t="shared" si="0"/>
        <v>1132281.5233259813</v>
      </c>
      <c r="G12" s="66">
        <f t="shared" si="0"/>
        <v>1132281.5233259813</v>
      </c>
    </row>
    <row r="13" spans="1:7">
      <c r="A13" s="123" t="s">
        <v>212</v>
      </c>
      <c r="B13" s="354"/>
      <c r="C13" s="65">
        <f>-0.21*('E-Costos'!G35-'E-Costos'!G26)</f>
        <v>-14351.299172186709</v>
      </c>
      <c r="D13" s="65"/>
      <c r="E13" s="65"/>
      <c r="F13" s="65"/>
      <c r="G13" s="66"/>
    </row>
    <row r="14" spans="1:7">
      <c r="A14" s="123" t="s">
        <v>213</v>
      </c>
      <c r="B14" s="355"/>
      <c r="C14" s="85"/>
      <c r="D14" s="85"/>
      <c r="E14" s="85"/>
      <c r="F14" s="85"/>
      <c r="G14" s="86"/>
    </row>
    <row r="15" spans="1:7">
      <c r="A15" s="123" t="s">
        <v>214</v>
      </c>
      <c r="B15" s="354"/>
      <c r="C15" s="65">
        <f>-'E-InvAT'!C32</f>
        <v>-3753.1322438827428</v>
      </c>
      <c r="D15" s="65">
        <f>-'E-InvAT'!D32</f>
        <v>-5.4058244655875569</v>
      </c>
      <c r="E15" s="65">
        <f>-'E-InvAT'!E32</f>
        <v>0</v>
      </c>
      <c r="F15" s="65">
        <f>-'E-InvAT'!F32</f>
        <v>10.932754880694119</v>
      </c>
      <c r="G15" s="66">
        <f>-'E-InvAT'!G32</f>
        <v>0</v>
      </c>
    </row>
    <row r="16" spans="1:7">
      <c r="A16" s="123" t="s">
        <v>215</v>
      </c>
      <c r="B16" s="354"/>
      <c r="C16" s="65">
        <f>-'E-InvAT'!C33</f>
        <v>-19583.593031863198</v>
      </c>
      <c r="D16" s="65">
        <f>-'E-InvAT'!D33</f>
        <v>-314.13537052910033</v>
      </c>
      <c r="E16" s="65">
        <f>-'E-InvAT'!E33</f>
        <v>0</v>
      </c>
      <c r="F16" s="65">
        <f>-'E-InvAT'!F33</f>
        <v>65.406806856735784</v>
      </c>
      <c r="G16" s="66">
        <f>-'E-InvAT'!G33</f>
        <v>0</v>
      </c>
    </row>
    <row r="17" spans="1:7">
      <c r="A17" s="125" t="s">
        <v>216</v>
      </c>
      <c r="B17" s="354"/>
      <c r="C17" s="65">
        <f>C12+C13+C15+C16</f>
        <v>902028.45487804862</v>
      </c>
      <c r="D17" s="65">
        <f t="shared" ref="D17:G17" si="1">D12+D13+D15+D16</f>
        <v>1128181.9821309866</v>
      </c>
      <c r="E17" s="65">
        <f t="shared" si="1"/>
        <v>1128501.5233259813</v>
      </c>
      <c r="F17" s="65">
        <f t="shared" si="1"/>
        <v>1132357.8628877187</v>
      </c>
      <c r="G17" s="66">
        <f t="shared" si="1"/>
        <v>1132281.5233259813</v>
      </c>
    </row>
    <row r="18" spans="1:7">
      <c r="A18" s="125" t="s">
        <v>217</v>
      </c>
      <c r="B18" s="354"/>
      <c r="C18" s="65">
        <f>0.21*('E-Costos'!B54+'E-Costos'!B55+'E-Costos'!B56+'E-Costos'!B57)</f>
        <v>15336.964596186379</v>
      </c>
      <c r="D18" s="65">
        <f>0.21*('E-Costos'!C54+'E-Costos'!C55+'E-Costos'!C56+'E-Costos'!C57)</f>
        <v>16987.45373354042</v>
      </c>
      <c r="E18" s="65">
        <f>0.21*('E-Costos'!D54+'E-Costos'!D55+'E-Costos'!D56+'E-Costos'!D57)</f>
        <v>16987.45373354042</v>
      </c>
      <c r="F18" s="65">
        <f>0.21*('E-Costos'!E54+'E-Costos'!E55+'E-Costos'!E56+'E-Costos'!E57)</f>
        <v>16987.45373354042</v>
      </c>
      <c r="G18" s="66">
        <f>0.21*('E-Costos'!F54+'E-Costos'!F55+'E-Costos'!F56+'E-Costos'!F57)</f>
        <v>16987.45373354042</v>
      </c>
    </row>
    <row r="19" spans="1:7">
      <c r="A19" s="125" t="s">
        <v>218</v>
      </c>
      <c r="B19" s="354"/>
      <c r="C19" s="65">
        <f>0.21*('E-Costos'!B71+'E-Costos'!B72+'E-Costos'!B73+'E-Costos'!B74)</f>
        <v>32398.957427961002</v>
      </c>
      <c r="D19" s="65">
        <f>0.21*('E-Costos'!C71+'E-Costos'!C72+'E-Costos'!C73+'E-Costos'!C74)</f>
        <v>35945.22354662334</v>
      </c>
      <c r="E19" s="65">
        <f>0.21*('E-Costos'!D71+'E-Costos'!D72+'E-Costos'!D73+'E-Costos'!D74)</f>
        <v>35945.22354662334</v>
      </c>
      <c r="F19" s="65">
        <f>0.21*('E-Costos'!E71+'E-Costos'!E72+'E-Costos'!E73+'E-Costos'!E74)</f>
        <v>35945.22354662334</v>
      </c>
      <c r="G19" s="66">
        <f>0.21*('E-Costos'!F71+'E-Costos'!F72+'E-Costos'!F73+'E-Costos'!F74)</f>
        <v>35945.22354662334</v>
      </c>
    </row>
    <row r="20" spans="1:7">
      <c r="A20" s="125"/>
      <c r="B20" s="355"/>
      <c r="C20" s="85"/>
      <c r="D20" s="85"/>
      <c r="E20" s="85"/>
      <c r="F20" s="85"/>
      <c r="G20" s="86"/>
    </row>
    <row r="21" spans="1:7">
      <c r="A21" s="123" t="s">
        <v>219</v>
      </c>
      <c r="B21" s="354"/>
      <c r="C21" s="65">
        <f>C17+C18+C19</f>
        <v>949764.37690219609</v>
      </c>
      <c r="D21" s="65">
        <f t="shared" ref="D21:G21" si="2">D17+D18+D19</f>
        <v>1181114.6594111503</v>
      </c>
      <c r="E21" s="65">
        <f t="shared" si="2"/>
        <v>1181434.200606145</v>
      </c>
      <c r="F21" s="65">
        <f t="shared" si="2"/>
        <v>1185290.5401678823</v>
      </c>
      <c r="G21" s="66">
        <f t="shared" si="2"/>
        <v>1185214.200606145</v>
      </c>
    </row>
    <row r="22" spans="1:7">
      <c r="A22" s="123" t="s">
        <v>220</v>
      </c>
      <c r="B22" s="354"/>
      <c r="C22" s="65">
        <f>0.21*'E-Costos'!B88</f>
        <v>6048000</v>
      </c>
      <c r="D22" s="65">
        <f>0.21*'E-Costos'!C88</f>
        <v>7560000</v>
      </c>
      <c r="E22" s="65">
        <f>0.21*'E-Costos'!D88</f>
        <v>7560000</v>
      </c>
      <c r="F22" s="65">
        <f>0.21*'E-Costos'!E88</f>
        <v>7560000</v>
      </c>
      <c r="G22" s="66">
        <f>0.21*'E-Costos'!F88</f>
        <v>7560000</v>
      </c>
    </row>
    <row r="23" spans="1:7">
      <c r="A23" s="125" t="s">
        <v>221</v>
      </c>
      <c r="B23" s="354"/>
      <c r="C23" s="65">
        <f>C22-C21</f>
        <v>5098235.6230978034</v>
      </c>
      <c r="D23" s="65">
        <f t="shared" ref="D23:G23" si="3">D22-D21</f>
        <v>6378885.34058885</v>
      </c>
      <c r="E23" s="65">
        <f t="shared" si="3"/>
        <v>6378565.799393855</v>
      </c>
      <c r="F23" s="65">
        <f t="shared" si="3"/>
        <v>6374709.4598321179</v>
      </c>
      <c r="G23" s="66">
        <f t="shared" si="3"/>
        <v>6374785.799393855</v>
      </c>
    </row>
    <row r="24" spans="1:7">
      <c r="A24" s="123"/>
      <c r="B24" s="355"/>
      <c r="C24" s="85"/>
      <c r="D24" s="85"/>
      <c r="E24" s="85"/>
      <c r="F24" s="85"/>
      <c r="G24" s="86"/>
    </row>
    <row r="25" spans="1:7">
      <c r="A25" s="127" t="s">
        <v>222</v>
      </c>
      <c r="B25" s="354">
        <v>0</v>
      </c>
      <c r="C25" s="65">
        <f>B27</f>
        <v>1434823.162180857</v>
      </c>
      <c r="D25" s="65">
        <f t="shared" ref="D25:G25" si="4">C27</f>
        <v>0</v>
      </c>
      <c r="E25" s="65">
        <f t="shared" si="4"/>
        <v>0</v>
      </c>
      <c r="F25" s="65">
        <f t="shared" si="4"/>
        <v>0</v>
      </c>
      <c r="G25" s="66">
        <f t="shared" si="4"/>
        <v>0</v>
      </c>
    </row>
    <row r="26" spans="1:7">
      <c r="A26" s="127" t="s">
        <v>223</v>
      </c>
      <c r="B26" s="354">
        <f>'E-Cal Inv.'!B23+'E-Cal Inv.'!C23</f>
        <v>1434823.162180857</v>
      </c>
      <c r="C26" s="65">
        <f>'E-Cal Inv.'!D23</f>
        <v>627416.76037327794</v>
      </c>
      <c r="D26" s="65">
        <f>'E-Cal Inv.'!E23</f>
        <v>106371.64463282675</v>
      </c>
      <c r="E26" s="65">
        <f>'E-Cal Inv.'!F23</f>
        <v>0</v>
      </c>
      <c r="F26" s="65">
        <f>'E-Cal Inv.'!G23</f>
        <v>323.06108459869529</v>
      </c>
      <c r="G26" s="66">
        <f>'E-Cal Inv.'!H23</f>
        <v>0</v>
      </c>
    </row>
    <row r="27" spans="1:7">
      <c r="A27" s="125" t="s">
        <v>224</v>
      </c>
      <c r="B27" s="354">
        <f>B25+B26</f>
        <v>1434823.162180857</v>
      </c>
      <c r="C27" s="65">
        <f>C25-C23+C26+C30</f>
        <v>0</v>
      </c>
      <c r="D27" s="65">
        <f>D25-D23+D26+D30</f>
        <v>0</v>
      </c>
      <c r="E27" s="65">
        <f>E25-E23+E26+E30</f>
        <v>0</v>
      </c>
      <c r="F27" s="65">
        <f>F25-F23+F26+F30</f>
        <v>0</v>
      </c>
      <c r="G27" s="66"/>
    </row>
    <row r="28" spans="1:7">
      <c r="A28" s="125" t="s">
        <v>225</v>
      </c>
      <c r="B28" s="354">
        <v>0</v>
      </c>
      <c r="C28" s="65">
        <f>C23-C30</f>
        <v>2062239.9225541349</v>
      </c>
      <c r="D28" s="65">
        <f t="shared" ref="D28:G28" si="5">D23-D30</f>
        <v>106371.64463282656</v>
      </c>
      <c r="E28" s="65">
        <f t="shared" si="5"/>
        <v>0</v>
      </c>
      <c r="F28" s="65">
        <f t="shared" si="5"/>
        <v>323.06108459830284</v>
      </c>
      <c r="G28" s="66">
        <f t="shared" si="5"/>
        <v>0</v>
      </c>
    </row>
    <row r="29" spans="1:7">
      <c r="A29" s="123"/>
      <c r="B29" s="355"/>
      <c r="C29" s="85"/>
      <c r="D29" s="85"/>
      <c r="E29" s="85"/>
      <c r="F29" s="85"/>
      <c r="G29" s="86"/>
    </row>
    <row r="30" spans="1:7" ht="13.5" thickBot="1">
      <c r="A30" s="128" t="s">
        <v>226</v>
      </c>
      <c r="B30" s="356">
        <v>0</v>
      </c>
      <c r="C30" s="71">
        <f>-(C25-C23+C26)</f>
        <v>3035995.7005436686</v>
      </c>
      <c r="D30" s="71">
        <f>-(D25-D23+D26)</f>
        <v>6272513.6959560234</v>
      </c>
      <c r="E30" s="71">
        <f>-(E25-E23+E26)</f>
        <v>6378565.799393855</v>
      </c>
      <c r="F30" s="71">
        <f t="shared" ref="F30:G30" si="6">-(F25-F23+F26)</f>
        <v>6374386.3987475196</v>
      </c>
      <c r="G30" s="72">
        <f t="shared" si="6"/>
        <v>6374785.799393855</v>
      </c>
    </row>
    <row r="31" spans="1:7" ht="13.5" thickTop="1"/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  <ignoredErrors>
    <ignoredError sqref="C6 D6:G6 C7:G12 C13:G16 C17:G17 C18:G18 C19:G19 C21:G21 C22:G22 C23:G23 C25:G25 B26:B27 C26:C28 C30:E30 D26:G26 D27:D28 F27:F28 E27:E28 F30:G30 G2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abSelected="1" workbookViewId="0">
      <selection activeCell="H16" sqref="H16"/>
    </sheetView>
  </sheetViews>
  <sheetFormatPr baseColWidth="10" defaultColWidth="11.42578125" defaultRowHeight="12.75"/>
  <cols>
    <col min="1" max="1" width="8" style="16" customWidth="1"/>
    <col min="2" max="7" width="14.85546875" style="16" customWidth="1"/>
    <col min="8" max="8" width="15.85546875" style="16" bestFit="1" customWidth="1"/>
    <col min="9" max="10" width="14.85546875" style="16" customWidth="1"/>
    <col min="11" max="11" width="15.85546875" style="16" bestFit="1" customWidth="1"/>
    <col min="12" max="12" width="14.85546875" style="16" customWidth="1"/>
    <col min="13" max="13" width="15.85546875" style="16" bestFit="1" customWidth="1"/>
    <col min="14" max="14" width="17.42578125" style="16" customWidth="1"/>
    <col min="15" max="16384" width="11.42578125" style="16"/>
  </cols>
  <sheetData>
    <row r="1" spans="1:13">
      <c r="A1" s="1" t="s">
        <v>0</v>
      </c>
      <c r="B1"/>
      <c r="C1"/>
      <c r="D1"/>
      <c r="G1" s="16">
        <f>InfoInicial!E1</f>
        <v>5</v>
      </c>
      <c r="H1" s="2"/>
    </row>
    <row r="2" spans="1:13" ht="15.75">
      <c r="A2" s="116" t="s">
        <v>227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38.25">
      <c r="A3" s="120" t="s">
        <v>228</v>
      </c>
      <c r="B3" s="109" t="s">
        <v>229</v>
      </c>
      <c r="C3" s="109" t="s">
        <v>230</v>
      </c>
      <c r="D3" s="109" t="s">
        <v>231</v>
      </c>
      <c r="E3" s="109" t="s">
        <v>3</v>
      </c>
      <c r="F3" s="109" t="s">
        <v>232</v>
      </c>
      <c r="G3" s="109" t="s">
        <v>233</v>
      </c>
      <c r="H3" s="109" t="s">
        <v>234</v>
      </c>
      <c r="I3" s="109" t="s">
        <v>92</v>
      </c>
      <c r="J3" s="109" t="s">
        <v>235</v>
      </c>
      <c r="K3" s="109" t="s">
        <v>236</v>
      </c>
      <c r="L3" s="130" t="s">
        <v>237</v>
      </c>
      <c r="M3" s="131" t="s">
        <v>238</v>
      </c>
    </row>
    <row r="4" spans="1:13" ht="13.5" thickTop="1">
      <c r="A4" s="132">
        <v>0</v>
      </c>
      <c r="B4" s="133">
        <f>'E-Cal Inv.'!B8+'E-Cal Inv.'!C8</f>
        <v>5937926.1667054351</v>
      </c>
      <c r="C4" s="63">
        <f>'E-Cal Inv.'!B18+'E-Cal Inv.'!C18</f>
        <v>894565.08177483676</v>
      </c>
      <c r="D4" s="63">
        <f>'E-IVA '!B26</f>
        <v>1434823.162180857</v>
      </c>
      <c r="E4" s="63">
        <v>0</v>
      </c>
      <c r="F4" s="63">
        <v>0</v>
      </c>
      <c r="G4" s="63">
        <f>SUM(B4:F4)</f>
        <v>8267314.4106611283</v>
      </c>
      <c r="H4" s="63">
        <v>0</v>
      </c>
      <c r="I4" s="63">
        <v>0</v>
      </c>
      <c r="J4" s="63">
        <v>0</v>
      </c>
      <c r="K4" s="63">
        <f>SUM(H4:J4)</f>
        <v>0</v>
      </c>
      <c r="L4" s="134">
        <f>K4-G4</f>
        <v>-8267314.4106611283</v>
      </c>
      <c r="M4" s="64">
        <f>L4</f>
        <v>-8267314.4106611283</v>
      </c>
    </row>
    <row r="5" spans="1:13">
      <c r="A5" s="135">
        <v>1</v>
      </c>
      <c r="B5" s="124">
        <f>'E-Cal Inv.'!D8</f>
        <v>218197.01986755576</v>
      </c>
      <c r="C5" s="65">
        <f>'E-Cal Inv.'!D18</f>
        <v>2769501.8390528155</v>
      </c>
      <c r="D5" s="65">
        <f>'E-IVA '!C26</f>
        <v>627416.76037327794</v>
      </c>
      <c r="E5" s="65">
        <f>'E-Costos'!B117</f>
        <v>542819.96645993507</v>
      </c>
      <c r="F5" s="65">
        <f>'E-Costos'!B118</f>
        <v>6142912.6204382647</v>
      </c>
      <c r="G5" s="63">
        <f t="shared" ref="G5:G10" si="0">SUM(B5:F5)</f>
        <v>10300848.206191849</v>
      </c>
      <c r="H5" s="65">
        <f>'E-Costos'!B116</f>
        <v>18093998.881997835</v>
      </c>
      <c r="I5" s="65">
        <f>'E-Costos'!B125</f>
        <v>546868.76861625118</v>
      </c>
      <c r="J5" s="65">
        <f>'E-IVA '!C28</f>
        <v>2062239.9225541349</v>
      </c>
      <c r="K5" s="63">
        <f t="shared" ref="K5:K9" si="1">SUM(H5:J5)</f>
        <v>20703107.573168222</v>
      </c>
      <c r="L5" s="134">
        <f t="shared" ref="L5:L9" si="2">K5-G5</f>
        <v>10402259.366976373</v>
      </c>
      <c r="M5" s="66">
        <f>L5+M4</f>
        <v>2134944.9563152445</v>
      </c>
    </row>
    <row r="6" spans="1:13">
      <c r="A6" s="135">
        <v>2</v>
      </c>
      <c r="B6" s="124">
        <f>'E-Cal Inv.'!E8</f>
        <v>0</v>
      </c>
      <c r="C6" s="65">
        <f>'E-Cal Inv.'!E18</f>
        <v>506531.64110869879</v>
      </c>
      <c r="D6" s="65">
        <f>'E-IVA '!D26</f>
        <v>106371.64463282675</v>
      </c>
      <c r="E6" s="65">
        <f>'E-Costos'!C117</f>
        <v>703902.7301419226</v>
      </c>
      <c r="F6" s="65">
        <f>'E-Costos'!C118</f>
        <v>7965832.5627727574</v>
      </c>
      <c r="G6" s="63">
        <f t="shared" si="0"/>
        <v>9282638.5786562059</v>
      </c>
      <c r="H6" s="65">
        <f>'E-Costos'!C116</f>
        <v>23463424.338064089</v>
      </c>
      <c r="I6" s="65">
        <f>'E-Costos'!C125</f>
        <v>546868.76861625118</v>
      </c>
      <c r="J6" s="65">
        <f>'E-IVA '!D28</f>
        <v>106371.64463282656</v>
      </c>
      <c r="K6" s="63">
        <f t="shared" si="1"/>
        <v>24116664.751313169</v>
      </c>
      <c r="L6" s="134">
        <f t="shared" si="2"/>
        <v>14834026.172656963</v>
      </c>
      <c r="M6" s="66">
        <f t="shared" ref="M6:M9" si="3">L6+M5</f>
        <v>16968971.128972206</v>
      </c>
    </row>
    <row r="7" spans="1:13">
      <c r="A7" s="135">
        <v>3</v>
      </c>
      <c r="B7" s="124">
        <v>0</v>
      </c>
      <c r="C7" s="65">
        <f>'E-Cal Inv.'!F18</f>
        <v>0</v>
      </c>
      <c r="D7" s="65">
        <f>'E-IVA '!E26</f>
        <v>0</v>
      </c>
      <c r="E7" s="65">
        <f>'E-Costos'!D117</f>
        <v>703931.12762304954</v>
      </c>
      <c r="F7" s="65">
        <f>'E-Costos'!D118</f>
        <v>7966153.9276008438</v>
      </c>
      <c r="G7" s="63">
        <f t="shared" si="0"/>
        <v>8670085.0552238934</v>
      </c>
      <c r="H7" s="65">
        <f>'E-Costos'!D116</f>
        <v>23464370.920768321</v>
      </c>
      <c r="I7" s="65">
        <f>'E-Costos'!D125</f>
        <v>546868.76861625118</v>
      </c>
      <c r="J7" s="65">
        <f>'E-IVA '!E28</f>
        <v>0</v>
      </c>
      <c r="K7" s="63">
        <f t="shared" si="1"/>
        <v>24011239.689384572</v>
      </c>
      <c r="L7" s="134">
        <f t="shared" si="2"/>
        <v>15341154.634160679</v>
      </c>
      <c r="M7" s="66">
        <f t="shared" si="3"/>
        <v>32310125.763132885</v>
      </c>
    </row>
    <row r="8" spans="1:13">
      <c r="A8" s="135">
        <v>4</v>
      </c>
      <c r="B8" s="124">
        <v>0</v>
      </c>
      <c r="C8" s="65">
        <f>'E-Cal Inv.'!G18</f>
        <v>1538.3861171366443</v>
      </c>
      <c r="D8" s="65">
        <f>'E-IVA '!F26</f>
        <v>323.06108459869529</v>
      </c>
      <c r="E8" s="65">
        <f>'E-Costos'!E117</f>
        <v>703578.98905471992</v>
      </c>
      <c r="F8" s="65">
        <f>'E-Costos'!E118</f>
        <v>7962168.8928025793</v>
      </c>
      <c r="G8" s="63">
        <f t="shared" si="0"/>
        <v>8667609.3290590346</v>
      </c>
      <c r="H8" s="65">
        <f>'E-Costos'!E116</f>
        <v>23452632.968490664</v>
      </c>
      <c r="I8" s="65">
        <f>'E-Costos'!E125</f>
        <v>540868.76861625118</v>
      </c>
      <c r="J8" s="65">
        <f>'E-IVA '!F28</f>
        <v>323.06108459830284</v>
      </c>
      <c r="K8" s="63">
        <f t="shared" si="1"/>
        <v>23993824.798191514</v>
      </c>
      <c r="L8" s="134">
        <f t="shared" si="2"/>
        <v>15326215.469132479</v>
      </c>
      <c r="M8" s="66">
        <f t="shared" si="3"/>
        <v>47636341.232265368</v>
      </c>
    </row>
    <row r="9" spans="1:13">
      <c r="A9" s="135">
        <v>5</v>
      </c>
      <c r="B9" s="124">
        <f>-(B4+B5-I11)</f>
        <v>-3433779.3434917354</v>
      </c>
      <c r="C9" s="65">
        <f>'E-Cal Inv.'!H18-(C4+C5+C6+C7+C8)</f>
        <v>-4172136.9480534876</v>
      </c>
      <c r="D9" s="65">
        <f>'E-IVA '!G26</f>
        <v>0</v>
      </c>
      <c r="E9" s="65">
        <f>'E-Costos'!F117</f>
        <v>703577.96762304963</v>
      </c>
      <c r="F9" s="65">
        <f>'E-Costos'!F118</f>
        <v>7962157.3336008433</v>
      </c>
      <c r="G9" s="63">
        <f t="shared" si="0"/>
        <v>1059819.0096786693</v>
      </c>
      <c r="H9" s="65">
        <f>'E-Costos'!F116</f>
        <v>23452598.920768321</v>
      </c>
      <c r="I9" s="65">
        <f>'E-Costos'!F125</f>
        <v>540868.76861625118</v>
      </c>
      <c r="J9" s="65">
        <f>'E-IVA '!G28</f>
        <v>0</v>
      </c>
      <c r="K9" s="63">
        <f t="shared" si="1"/>
        <v>23993467.689384572</v>
      </c>
      <c r="L9" s="134">
        <f t="shared" si="2"/>
        <v>22933648.679705903</v>
      </c>
      <c r="M9" s="66">
        <f t="shared" si="3"/>
        <v>70569989.911971271</v>
      </c>
    </row>
    <row r="10" spans="1:13">
      <c r="A10" s="135"/>
      <c r="B10" s="126"/>
      <c r="C10" s="85"/>
      <c r="D10" s="85"/>
      <c r="E10" s="85"/>
      <c r="F10" s="85"/>
      <c r="G10" s="63"/>
      <c r="H10" s="85"/>
      <c r="I10" s="85"/>
      <c r="J10" s="85"/>
      <c r="K10" s="85"/>
      <c r="L10" s="114"/>
      <c r="M10" s="86"/>
    </row>
    <row r="11" spans="1:13" ht="13.5" thickBot="1">
      <c r="A11" s="136" t="s">
        <v>239</v>
      </c>
      <c r="B11" s="356">
        <f>SUM(B4:B9)</f>
        <v>2722343.8430812559</v>
      </c>
      <c r="C11" s="129">
        <f t="shared" ref="C11:M11" si="4">SUM(C4:C9)</f>
        <v>0</v>
      </c>
      <c r="D11" s="129">
        <f t="shared" si="4"/>
        <v>2168934.6282715602</v>
      </c>
      <c r="E11" s="129">
        <f t="shared" si="4"/>
        <v>3357810.7809026763</v>
      </c>
      <c r="F11" s="129">
        <f t="shared" si="4"/>
        <v>37999225.337215289</v>
      </c>
      <c r="G11" s="129">
        <f t="shared" si="4"/>
        <v>46248314.589470781</v>
      </c>
      <c r="H11" s="129">
        <f t="shared" si="4"/>
        <v>111927026.03008923</v>
      </c>
      <c r="I11" s="129">
        <f t="shared" si="4"/>
        <v>2722343.8430812559</v>
      </c>
      <c r="J11" s="129">
        <f t="shared" si="4"/>
        <v>2168934.6282715597</v>
      </c>
      <c r="K11" s="129">
        <f t="shared" si="4"/>
        <v>116818304.50144204</v>
      </c>
      <c r="L11" s="129">
        <f t="shared" si="4"/>
        <v>70569989.911971271</v>
      </c>
      <c r="M11" s="72"/>
    </row>
    <row r="12" spans="1:13" ht="13.5" thickTop="1"/>
    <row r="13" spans="1:13">
      <c r="C13" s="137" t="s">
        <v>240</v>
      </c>
      <c r="D13" s="138">
        <f>H11-E11-F11</f>
        <v>70569989.911971256</v>
      </c>
    </row>
    <row r="14" spans="1:13">
      <c r="A14" s="76"/>
      <c r="C14" s="137" t="s">
        <v>241</v>
      </c>
      <c r="D14" s="357">
        <f>0+(-M4)/L5</f>
        <v>0.79476141855364935</v>
      </c>
      <c r="E14" s="16" t="s">
        <v>242</v>
      </c>
    </row>
    <row r="15" spans="1:13">
      <c r="C15" s="137" t="s">
        <v>243</v>
      </c>
      <c r="D15" s="140">
        <f>IRR(L4:L9)</f>
        <v>1.4790722256807258</v>
      </c>
    </row>
    <row r="17" spans="4:4">
      <c r="D17" s="269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  <ignoredErrors>
    <ignoredError sqref="G4 B4:D4 L4:M4 B5:C5 B11:L11 K4:K9 L5:L9 M8 M5:M7 M9 B6:C6 E5 C7:C9 D5:D9 E6:E8 F5:F8 J5:J9 I5:I9 H5:H9 B9 E9:F9 D13:D15" unlockedFormula="1"/>
    <ignoredError sqref="G5:G9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workbookViewId="0">
      <selection activeCell="F1" sqref="F1"/>
    </sheetView>
  </sheetViews>
  <sheetFormatPr baseColWidth="10" defaultColWidth="11.42578125" defaultRowHeight="12.75"/>
  <cols>
    <col min="1" max="1" width="27.28515625" style="16" customWidth="1"/>
    <col min="2" max="9" width="15.140625" style="16" customWidth="1"/>
    <col min="10" max="16384" width="11.42578125" style="16"/>
  </cols>
  <sheetData>
    <row r="1" spans="1:9">
      <c r="A1" s="1" t="s">
        <v>0</v>
      </c>
      <c r="B1"/>
      <c r="C1"/>
      <c r="D1"/>
      <c r="F1" s="141">
        <f>InfoInicial!E1</f>
        <v>5</v>
      </c>
      <c r="G1" s="2"/>
    </row>
    <row r="2" spans="1:9" ht="15.75">
      <c r="A2" s="142" t="s">
        <v>244</v>
      </c>
      <c r="B2" s="90"/>
      <c r="C2" s="90"/>
      <c r="D2" s="90"/>
      <c r="E2" s="90"/>
      <c r="F2" s="90"/>
      <c r="G2" s="91"/>
    </row>
    <row r="3" spans="1:9">
      <c r="A3" s="60" t="s">
        <v>84</v>
      </c>
      <c r="B3" s="342" t="s">
        <v>245</v>
      </c>
      <c r="C3" s="342"/>
      <c r="D3" s="342" t="s">
        <v>246</v>
      </c>
      <c r="E3" s="342"/>
      <c r="F3" s="343" t="s">
        <v>247</v>
      </c>
      <c r="G3" s="343"/>
    </row>
    <row r="4" spans="1:9">
      <c r="A4" s="60" t="s">
        <v>70</v>
      </c>
      <c r="B4" s="143" t="s">
        <v>248</v>
      </c>
      <c r="C4" s="143" t="s">
        <v>249</v>
      </c>
      <c r="D4" s="143" t="s">
        <v>248</v>
      </c>
      <c r="E4" s="143" t="s">
        <v>249</v>
      </c>
      <c r="F4" s="143" t="s">
        <v>248</v>
      </c>
      <c r="G4" s="144" t="s">
        <v>249</v>
      </c>
    </row>
    <row r="5" spans="1:9">
      <c r="A5" s="29" t="s">
        <v>250</v>
      </c>
      <c r="B5" s="65"/>
      <c r="C5" s="87"/>
      <c r="D5" s="65"/>
      <c r="E5" s="87"/>
      <c r="F5" s="65"/>
      <c r="G5" s="88"/>
    </row>
    <row r="6" spans="1:9">
      <c r="A6" s="27" t="s">
        <v>251</v>
      </c>
      <c r="B6" s="65"/>
      <c r="C6" s="87"/>
      <c r="D6" s="65"/>
      <c r="E6" s="87"/>
      <c r="F6" s="65"/>
      <c r="G6" s="88"/>
    </row>
    <row r="7" spans="1:9">
      <c r="A7" s="27" t="s">
        <v>252</v>
      </c>
      <c r="B7" s="65"/>
      <c r="C7" s="87"/>
      <c r="D7" s="65"/>
      <c r="E7" s="98"/>
      <c r="F7" s="65"/>
      <c r="G7" s="88"/>
    </row>
    <row r="8" spans="1:9">
      <c r="A8" s="35" t="s">
        <v>188</v>
      </c>
      <c r="B8" s="145"/>
      <c r="C8" s="146"/>
      <c r="D8" s="145"/>
      <c r="E8" s="146"/>
      <c r="F8" s="145"/>
      <c r="G8" s="147"/>
    </row>
    <row r="9" spans="1:9">
      <c r="A9" s="76"/>
      <c r="B9" s="56"/>
      <c r="C9" s="148"/>
      <c r="D9" s="56"/>
      <c r="E9" s="56"/>
      <c r="F9" s="56"/>
      <c r="G9" s="56"/>
    </row>
    <row r="10" spans="1:9" ht="15.75">
      <c r="A10" s="149" t="s">
        <v>253</v>
      </c>
      <c r="B10" s="150"/>
      <c r="C10" s="150"/>
      <c r="D10" s="150"/>
      <c r="E10" s="150"/>
      <c r="F10" s="150"/>
      <c r="G10" s="150"/>
      <c r="H10" s="150"/>
      <c r="I10" s="151"/>
    </row>
    <row r="11" spans="1:9">
      <c r="A11" s="152" t="s">
        <v>254</v>
      </c>
      <c r="B11" s="153" t="s">
        <v>255</v>
      </c>
      <c r="C11" s="153" t="s">
        <v>256</v>
      </c>
      <c r="D11" s="153" t="s">
        <v>257</v>
      </c>
      <c r="E11" s="153" t="s">
        <v>256</v>
      </c>
      <c r="F11" s="153" t="s">
        <v>258</v>
      </c>
      <c r="G11" s="153" t="s">
        <v>257</v>
      </c>
      <c r="H11" s="153"/>
      <c r="I11" s="154" t="s">
        <v>259</v>
      </c>
    </row>
    <row r="12" spans="1:9">
      <c r="A12" s="155"/>
      <c r="B12" s="156"/>
      <c r="C12" s="156" t="s">
        <v>260</v>
      </c>
      <c r="D12" s="156" t="s">
        <v>260</v>
      </c>
      <c r="E12" s="156" t="s">
        <v>35</v>
      </c>
      <c r="F12" s="156" t="s">
        <v>261</v>
      </c>
      <c r="G12" s="156" t="s">
        <v>35</v>
      </c>
      <c r="H12" s="156" t="s">
        <v>262</v>
      </c>
      <c r="I12" s="157" t="s">
        <v>263</v>
      </c>
    </row>
    <row r="13" spans="1:9">
      <c r="A13" s="158"/>
      <c r="B13" s="159"/>
      <c r="C13" s="159"/>
      <c r="D13" s="159"/>
      <c r="E13" s="159"/>
      <c r="F13" s="160"/>
      <c r="G13" s="159"/>
      <c r="H13" s="161"/>
      <c r="I13" s="162"/>
    </row>
    <row r="14" spans="1:9">
      <c r="A14" s="163"/>
      <c r="B14" s="65"/>
      <c r="C14" s="65"/>
      <c r="D14" s="65"/>
      <c r="E14" s="65"/>
      <c r="F14" s="28"/>
      <c r="G14" s="65"/>
      <c r="H14" s="98"/>
      <c r="I14" s="66"/>
    </row>
    <row r="15" spans="1:9">
      <c r="A15" s="163"/>
      <c r="B15" s="65"/>
      <c r="C15" s="65"/>
      <c r="D15" s="65"/>
      <c r="E15" s="65"/>
      <c r="F15" s="28"/>
      <c r="G15" s="65"/>
      <c r="H15" s="98"/>
      <c r="I15" s="66"/>
    </row>
    <row r="16" spans="1:9">
      <c r="A16" s="163"/>
      <c r="B16" s="65"/>
      <c r="C16" s="65"/>
      <c r="D16" s="65"/>
      <c r="E16" s="65"/>
      <c r="F16" s="28"/>
      <c r="G16" s="65"/>
      <c r="H16" s="98"/>
      <c r="I16" s="66"/>
    </row>
    <row r="17" spans="1:9">
      <c r="A17" s="163"/>
      <c r="B17" s="65"/>
      <c r="C17" s="65"/>
      <c r="D17" s="65"/>
      <c r="E17" s="65"/>
      <c r="F17" s="28"/>
      <c r="G17" s="65"/>
      <c r="H17" s="98"/>
      <c r="I17" s="66"/>
    </row>
    <row r="18" spans="1:9">
      <c r="A18" s="163"/>
      <c r="B18" s="65"/>
      <c r="C18" s="65"/>
      <c r="D18" s="65"/>
      <c r="E18" s="65"/>
      <c r="F18" s="28"/>
      <c r="G18" s="65"/>
      <c r="H18" s="98"/>
      <c r="I18" s="66"/>
    </row>
    <row r="19" spans="1:9">
      <c r="A19" s="163"/>
      <c r="B19" s="65"/>
      <c r="C19" s="65"/>
      <c r="D19" s="65"/>
      <c r="E19" s="65"/>
      <c r="F19" s="28"/>
      <c r="G19" s="65"/>
      <c r="H19" s="98"/>
      <c r="I19" s="66"/>
    </row>
    <row r="20" spans="1:9">
      <c r="A20" s="164"/>
      <c r="B20" s="71"/>
      <c r="C20" s="71"/>
      <c r="D20" s="80"/>
      <c r="E20" s="71"/>
      <c r="F20" s="32"/>
      <c r="G20" s="80"/>
      <c r="H20" s="165"/>
      <c r="I20" s="81"/>
    </row>
    <row r="21" spans="1:9">
      <c r="A21" s="166" t="s">
        <v>264</v>
      </c>
      <c r="B21" s="167"/>
      <c r="C21" s="167"/>
      <c r="D21" s="168"/>
      <c r="E21" s="167"/>
      <c r="F21" s="169"/>
      <c r="G21" s="168"/>
      <c r="H21" s="170"/>
      <c r="I21" s="168"/>
    </row>
    <row r="22" spans="1:9">
      <c r="A22" s="158"/>
      <c r="B22" s="159"/>
      <c r="C22" s="159"/>
      <c r="D22" s="63"/>
      <c r="E22" s="159"/>
      <c r="F22" s="160"/>
      <c r="G22" s="63"/>
      <c r="H22" s="161"/>
      <c r="I22" s="64"/>
    </row>
    <row r="23" spans="1:9">
      <c r="A23" s="163"/>
      <c r="B23" s="65"/>
      <c r="C23" s="65"/>
      <c r="D23" s="65"/>
      <c r="E23" s="65"/>
      <c r="F23" s="28"/>
      <c r="G23" s="65"/>
      <c r="H23" s="98"/>
      <c r="I23" s="66"/>
    </row>
    <row r="24" spans="1:9">
      <c r="A24" s="171"/>
      <c r="B24" s="65"/>
      <c r="C24" s="65"/>
      <c r="D24" s="65"/>
      <c r="E24" s="65"/>
      <c r="F24" s="65"/>
      <c r="G24" s="65"/>
      <c r="H24" s="87"/>
      <c r="I24" s="66"/>
    </row>
    <row r="25" spans="1:9">
      <c r="A25" s="171"/>
      <c r="B25" s="65"/>
      <c r="C25" s="65"/>
      <c r="D25" s="65"/>
      <c r="E25" s="65"/>
      <c r="F25" s="65"/>
      <c r="G25" s="65"/>
      <c r="H25" s="87"/>
      <c r="I25" s="66"/>
    </row>
    <row r="26" spans="1:9">
      <c r="A26" s="171"/>
      <c r="B26" s="65"/>
      <c r="C26" s="65"/>
      <c r="D26" s="65"/>
      <c r="E26" s="65"/>
      <c r="F26" s="65"/>
      <c r="G26" s="65"/>
      <c r="H26" s="87"/>
      <c r="I26" s="66"/>
    </row>
    <row r="27" spans="1:9">
      <c r="A27" s="171"/>
      <c r="B27" s="65"/>
      <c r="C27" s="65"/>
      <c r="D27" s="65"/>
      <c r="E27" s="65"/>
      <c r="F27" s="65"/>
      <c r="G27" s="65"/>
      <c r="H27" s="87"/>
      <c r="I27" s="66"/>
    </row>
    <row r="28" spans="1:9">
      <c r="A28" s="171"/>
      <c r="B28" s="65"/>
      <c r="C28" s="65"/>
      <c r="D28" s="65"/>
      <c r="E28" s="65"/>
      <c r="F28" s="65"/>
      <c r="G28" s="65"/>
      <c r="H28" s="87"/>
      <c r="I28" s="66"/>
    </row>
    <row r="29" spans="1:9">
      <c r="A29" s="171"/>
      <c r="B29" s="65"/>
      <c r="C29" s="65"/>
      <c r="D29" s="65"/>
      <c r="E29" s="65"/>
      <c r="F29" s="65"/>
      <c r="G29" s="65"/>
      <c r="H29" s="87"/>
      <c r="I29" s="66"/>
    </row>
    <row r="30" spans="1:9">
      <c r="A30" s="171"/>
      <c r="B30" s="65"/>
      <c r="C30" s="65"/>
      <c r="D30" s="65"/>
      <c r="E30" s="65"/>
      <c r="F30" s="65"/>
      <c r="G30" s="65"/>
      <c r="H30" s="87"/>
      <c r="I30" s="66"/>
    </row>
    <row r="31" spans="1:9">
      <c r="A31" s="171"/>
      <c r="B31" s="65"/>
      <c r="C31" s="65"/>
      <c r="D31" s="65"/>
      <c r="E31" s="65"/>
      <c r="F31" s="65"/>
      <c r="G31" s="65"/>
      <c r="H31" s="87"/>
      <c r="I31" s="66"/>
    </row>
    <row r="32" spans="1:9">
      <c r="A32" s="171"/>
      <c r="B32" s="65"/>
      <c r="C32" s="65"/>
      <c r="D32" s="65"/>
      <c r="E32" s="65"/>
      <c r="F32" s="65"/>
      <c r="G32" s="65"/>
      <c r="H32" s="87"/>
      <c r="I32" s="66"/>
    </row>
    <row r="33" spans="1:9">
      <c r="A33" s="171"/>
      <c r="B33" s="65"/>
      <c r="C33" s="65"/>
      <c r="D33" s="65"/>
      <c r="E33" s="65"/>
      <c r="F33" s="65"/>
      <c r="G33" s="65"/>
      <c r="H33" s="87"/>
      <c r="I33" s="66"/>
    </row>
    <row r="34" spans="1:9">
      <c r="A34" s="171"/>
      <c r="B34" s="65"/>
      <c r="C34" s="65"/>
      <c r="D34" s="65"/>
      <c r="E34" s="65"/>
      <c r="F34" s="65"/>
      <c r="G34" s="65"/>
      <c r="H34" s="87"/>
      <c r="I34" s="66"/>
    </row>
    <row r="35" spans="1:9">
      <c r="A35" s="171"/>
      <c r="B35" s="65"/>
      <c r="C35" s="65"/>
      <c r="D35" s="65"/>
      <c r="E35" s="65"/>
      <c r="F35" s="28"/>
      <c r="G35" s="65"/>
      <c r="H35" s="98"/>
      <c r="I35" s="66"/>
    </row>
    <row r="36" spans="1:9">
      <c r="A36" s="171"/>
      <c r="B36" s="65"/>
      <c r="C36" s="65"/>
      <c r="D36" s="65"/>
      <c r="E36" s="65"/>
      <c r="F36" s="65"/>
      <c r="G36" s="65"/>
      <c r="H36" s="87"/>
      <c r="I36" s="66"/>
    </row>
    <row r="37" spans="1:9">
      <c r="A37" s="171"/>
      <c r="B37" s="65"/>
      <c r="C37" s="65"/>
      <c r="D37" s="65"/>
      <c r="E37" s="65"/>
      <c r="F37" s="28"/>
      <c r="G37" s="65"/>
      <c r="H37" s="98"/>
      <c r="I37" s="66"/>
    </row>
    <row r="38" spans="1:9">
      <c r="A38" s="171"/>
      <c r="B38" s="65"/>
      <c r="C38" s="65"/>
      <c r="D38" s="65"/>
      <c r="E38" s="65"/>
      <c r="F38" s="65"/>
      <c r="G38" s="65"/>
      <c r="H38" s="87"/>
      <c r="I38" s="66"/>
    </row>
    <row r="39" spans="1:9">
      <c r="A39" s="171"/>
      <c r="B39" s="65"/>
      <c r="C39" s="65"/>
      <c r="D39" s="65"/>
      <c r="E39" s="65"/>
      <c r="F39" s="28"/>
      <c r="G39" s="65"/>
      <c r="H39" s="98"/>
      <c r="I39" s="66"/>
    </row>
    <row r="40" spans="1:9">
      <c r="A40" s="171"/>
      <c r="B40" s="65"/>
      <c r="C40" s="65"/>
      <c r="D40" s="65"/>
      <c r="E40" s="65"/>
      <c r="F40" s="65"/>
      <c r="G40" s="65"/>
      <c r="H40" s="87"/>
      <c r="I40" s="66"/>
    </row>
    <row r="41" spans="1:9">
      <c r="A41" s="171"/>
      <c r="B41" s="65"/>
      <c r="C41" s="65"/>
      <c r="D41" s="65"/>
      <c r="E41" s="65"/>
      <c r="F41" s="28"/>
      <c r="G41" s="65"/>
      <c r="H41" s="98"/>
      <c r="I41" s="66"/>
    </row>
    <row r="42" spans="1:9">
      <c r="A42" s="171"/>
      <c r="B42" s="65"/>
      <c r="C42" s="65"/>
      <c r="D42" s="65"/>
      <c r="E42" s="65"/>
      <c r="F42" s="65"/>
      <c r="G42" s="65"/>
      <c r="H42" s="87"/>
      <c r="I42" s="66"/>
    </row>
    <row r="43" spans="1:9">
      <c r="A43" s="171"/>
      <c r="B43" s="65"/>
      <c r="C43" s="65"/>
      <c r="D43" s="65"/>
      <c r="E43" s="65"/>
      <c r="F43" s="28"/>
      <c r="G43" s="65"/>
      <c r="H43" s="98"/>
      <c r="I43" s="66"/>
    </row>
    <row r="44" spans="1:9">
      <c r="A44" s="171"/>
      <c r="B44" s="65"/>
      <c r="C44" s="65"/>
      <c r="D44" s="65"/>
      <c r="E44" s="65"/>
      <c r="F44" s="65"/>
      <c r="G44" s="65"/>
      <c r="H44" s="87"/>
      <c r="I44" s="66"/>
    </row>
    <row r="45" spans="1:9">
      <c r="A45" s="171"/>
      <c r="B45" s="65"/>
      <c r="C45" s="65"/>
      <c r="D45" s="65"/>
      <c r="E45" s="65"/>
      <c r="F45" s="28"/>
      <c r="G45" s="65"/>
      <c r="H45" s="98"/>
      <c r="I45" s="66"/>
    </row>
    <row r="46" spans="1:9">
      <c r="A46" s="171"/>
      <c r="B46" s="65"/>
      <c r="C46" s="65"/>
      <c r="D46" s="65"/>
      <c r="E46" s="65"/>
      <c r="F46" s="65"/>
      <c r="G46" s="65"/>
      <c r="H46" s="87"/>
      <c r="I46" s="66"/>
    </row>
    <row r="47" spans="1:9">
      <c r="A47" s="171"/>
      <c r="B47" s="65"/>
      <c r="C47" s="65"/>
      <c r="D47" s="65"/>
      <c r="E47" s="65"/>
      <c r="F47" s="28"/>
      <c r="G47" s="65"/>
      <c r="H47" s="98"/>
      <c r="I47" s="66"/>
    </row>
    <row r="48" spans="1:9">
      <c r="A48" s="171"/>
      <c r="B48" s="65"/>
      <c r="C48" s="65"/>
      <c r="D48" s="65"/>
      <c r="E48" s="65"/>
      <c r="F48" s="65"/>
      <c r="G48" s="65"/>
      <c r="H48" s="87"/>
      <c r="I48" s="66"/>
    </row>
    <row r="49" spans="1:9">
      <c r="A49" s="171"/>
      <c r="B49" s="65"/>
      <c r="C49" s="65"/>
      <c r="D49" s="65"/>
      <c r="E49" s="65"/>
      <c r="F49" s="28"/>
      <c r="G49" s="65"/>
      <c r="H49" s="98"/>
      <c r="I49" s="66"/>
    </row>
    <row r="50" spans="1:9">
      <c r="A50" s="171"/>
      <c r="B50" s="65"/>
      <c r="C50" s="65"/>
      <c r="D50" s="65"/>
      <c r="E50" s="65"/>
      <c r="F50" s="65"/>
      <c r="G50" s="65"/>
      <c r="H50" s="87"/>
      <c r="I50" s="66"/>
    </row>
    <row r="51" spans="1:9">
      <c r="A51" s="171"/>
      <c r="B51" s="65"/>
      <c r="C51" s="65"/>
      <c r="D51" s="65"/>
      <c r="E51" s="65"/>
      <c r="F51" s="28"/>
      <c r="G51" s="65"/>
      <c r="H51" s="98"/>
      <c r="I51" s="66"/>
    </row>
    <row r="52" spans="1:9">
      <c r="A52" s="171"/>
      <c r="B52" s="65"/>
      <c r="C52" s="65"/>
      <c r="D52" s="65"/>
      <c r="E52" s="65"/>
      <c r="F52" s="65"/>
      <c r="G52" s="65"/>
      <c r="H52" s="87"/>
      <c r="I52" s="66"/>
    </row>
    <row r="53" spans="1:9">
      <c r="A53" s="163"/>
      <c r="B53" s="65"/>
      <c r="C53" s="65"/>
      <c r="D53" s="65"/>
      <c r="E53" s="65"/>
      <c r="F53" s="28"/>
      <c r="G53" s="65"/>
      <c r="H53" s="98"/>
      <c r="I53" s="66"/>
    </row>
    <row r="54" spans="1:9">
      <c r="A54" s="84" t="s">
        <v>265</v>
      </c>
      <c r="B54" s="145"/>
      <c r="C54" s="145"/>
      <c r="D54" s="145"/>
      <c r="E54" s="145"/>
      <c r="F54" s="172"/>
      <c r="G54" s="145"/>
      <c r="H54" s="173"/>
      <c r="I54" s="174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topLeftCell="C1" workbookViewId="0">
      <selection activeCell="F1" sqref="F1"/>
    </sheetView>
  </sheetViews>
  <sheetFormatPr baseColWidth="10" defaultColWidth="11.42578125" defaultRowHeight="12.75"/>
  <cols>
    <col min="1" max="1" width="32.140625" style="175" customWidth="1"/>
    <col min="2" max="7" width="14" style="175" customWidth="1"/>
    <col min="8" max="8" width="17.42578125" style="175" customWidth="1"/>
    <col min="9" max="16384" width="11.42578125" style="175"/>
  </cols>
  <sheetData>
    <row r="1" spans="1:7">
      <c r="A1" s="1" t="s">
        <v>0</v>
      </c>
      <c r="B1"/>
      <c r="C1"/>
      <c r="D1"/>
      <c r="E1" s="141"/>
      <c r="F1" s="2">
        <f>InfoInicial!E1</f>
        <v>5</v>
      </c>
    </row>
    <row r="2" spans="1:7" ht="15.75">
      <c r="A2" s="176" t="s">
        <v>266</v>
      </c>
      <c r="B2" s="177"/>
      <c r="C2" s="177"/>
      <c r="D2" s="177"/>
      <c r="E2" s="177"/>
      <c r="F2" s="177"/>
      <c r="G2" s="178"/>
    </row>
    <row r="3" spans="1:7">
      <c r="A3" s="179" t="s">
        <v>84</v>
      </c>
      <c r="B3" s="180" t="s">
        <v>48</v>
      </c>
      <c r="C3" s="180" t="s">
        <v>85</v>
      </c>
      <c r="D3" s="180" t="s">
        <v>86</v>
      </c>
      <c r="E3" s="180" t="s">
        <v>87</v>
      </c>
      <c r="F3" s="181" t="s">
        <v>88</v>
      </c>
      <c r="G3" s="182" t="s">
        <v>188</v>
      </c>
    </row>
    <row r="4" spans="1:7">
      <c r="A4" s="175" t="s">
        <v>267</v>
      </c>
      <c r="B4" s="65"/>
      <c r="C4" s="65"/>
      <c r="D4" s="65"/>
      <c r="E4" s="65"/>
      <c r="F4" s="113"/>
      <c r="G4" s="66"/>
    </row>
    <row r="5" spans="1:7">
      <c r="A5" s="175" t="s">
        <v>268</v>
      </c>
      <c r="B5" s="65"/>
      <c r="C5" s="65"/>
      <c r="D5" s="65"/>
      <c r="E5" s="65"/>
      <c r="F5" s="113"/>
      <c r="G5" s="66"/>
    </row>
    <row r="6" spans="1:7">
      <c r="A6" s="175" t="s">
        <v>269</v>
      </c>
      <c r="B6" s="65"/>
      <c r="C6" s="65"/>
      <c r="D6" s="65"/>
      <c r="E6" s="65"/>
      <c r="F6" s="113"/>
      <c r="G6" s="66"/>
    </row>
    <row r="7" spans="1:7">
      <c r="A7" s="175" t="s">
        <v>110</v>
      </c>
      <c r="B7" s="85"/>
      <c r="C7" s="85"/>
      <c r="D7" s="85"/>
      <c r="E7" s="85"/>
      <c r="F7" s="114"/>
      <c r="G7" s="86"/>
    </row>
    <row r="8" spans="1:7">
      <c r="A8" s="175" t="s">
        <v>270</v>
      </c>
      <c r="B8" s="65"/>
      <c r="C8" s="65"/>
      <c r="D8" s="65"/>
      <c r="E8" s="65"/>
      <c r="F8" s="113"/>
      <c r="G8" s="66"/>
    </row>
    <row r="9" spans="1:7">
      <c r="A9" s="175" t="s">
        <v>271</v>
      </c>
      <c r="B9" s="65"/>
      <c r="C9" s="65"/>
      <c r="D9" s="65"/>
      <c r="E9" s="65"/>
      <c r="F9" s="113"/>
      <c r="G9" s="66"/>
    </row>
    <row r="10" spans="1:7">
      <c r="A10" s="175" t="s">
        <v>272</v>
      </c>
      <c r="B10" s="65"/>
      <c r="C10" s="65"/>
      <c r="D10" s="65"/>
      <c r="E10" s="65"/>
      <c r="F10" s="113"/>
      <c r="G10" s="66"/>
    </row>
    <row r="11" spans="1:7">
      <c r="A11" s="183" t="s">
        <v>273</v>
      </c>
      <c r="B11" s="65"/>
      <c r="C11" s="65"/>
      <c r="D11" s="65"/>
      <c r="E11" s="65"/>
      <c r="F11" s="113"/>
      <c r="G11" s="66"/>
    </row>
    <row r="12" spans="1:7">
      <c r="A12" s="175" t="s">
        <v>274</v>
      </c>
      <c r="B12" s="65"/>
      <c r="C12" s="65"/>
      <c r="D12" s="65"/>
      <c r="E12" s="65"/>
      <c r="F12" s="113"/>
      <c r="G12" s="66"/>
    </row>
    <row r="13" spans="1:7">
      <c r="A13" s="184" t="s">
        <v>275</v>
      </c>
      <c r="B13" s="65"/>
      <c r="C13" s="65"/>
      <c r="D13" s="65"/>
      <c r="E13" s="65"/>
      <c r="F13" s="113"/>
      <c r="G13" s="66"/>
    </row>
    <row r="14" spans="1:7">
      <c r="A14" s="185" t="s">
        <v>276</v>
      </c>
      <c r="B14" s="71"/>
      <c r="C14" s="71"/>
      <c r="D14" s="71"/>
      <c r="E14" s="71"/>
      <c r="F14" s="115"/>
      <c r="G14" s="72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4</vt:i4>
      </vt:variant>
    </vt:vector>
  </HeadingPairs>
  <TitlesOfParts>
    <vt:vector size="18" baseType="lpstr">
      <vt:lpstr>InfoInicial</vt:lpstr>
      <vt:lpstr>E-Inv AF y Am</vt:lpstr>
      <vt:lpstr>E-Costos</vt:lpstr>
      <vt:lpstr>E-InvAT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</dc:creator>
  <cp:lastModifiedBy>Gaston</cp:lastModifiedBy>
  <dcterms:created xsi:type="dcterms:W3CDTF">2017-09-01T13:14:05Z</dcterms:created>
  <dcterms:modified xsi:type="dcterms:W3CDTF">2017-09-05T15:50:01Z</dcterms:modified>
</cp:coreProperties>
</file>