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a\Google Drive\Quinto año\Evaluación\TP Evaluación de Proyectos\"/>
    </mc:Choice>
  </mc:AlternateContent>
  <xr:revisionPtr revIDLastSave="0" documentId="13_ncr:1_{9E56522F-82CF-4154-B21F-792A0A70FDC1}" xr6:coauthVersionLast="45" xr6:coauthVersionMax="45" xr10:uidLastSave="{00000000-0000-0000-0000-000000000000}"/>
  <bookViews>
    <workbookView xWindow="-108" yWindow="-108" windowWidth="23256" windowHeight="12576" firstSheet="3" activeTab="9" xr2:uid="{7B6FA76A-E7E6-4447-88DE-9257A7DAE577}"/>
  </bookViews>
  <sheets>
    <sheet name="Gráficos proveedores" sheetId="1" r:id="rId1"/>
    <sheet name="Links de referencia" sheetId="2" r:id="rId2"/>
    <sheet name="Dim. Técnico" sheetId="3" r:id="rId3"/>
    <sheet name="Ej1" sheetId="4" r:id="rId4"/>
    <sheet name="Ej2" sheetId="5" r:id="rId5"/>
    <sheet name="Ej3" sheetId="6" r:id="rId6"/>
    <sheet name="Ej 4 y 5" sheetId="7" r:id="rId7"/>
    <sheet name="Ej6" sheetId="8" r:id="rId8"/>
    <sheet name="Ej7" sheetId="9" r:id="rId9"/>
    <sheet name="Ej9 y 10" sheetId="10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7" l="1"/>
  <c r="G12" i="4"/>
  <c r="C12" i="4"/>
  <c r="F12" i="4" s="1"/>
  <c r="C12" i="7"/>
  <c r="E5" i="10" l="1"/>
  <c r="Q18" i="3"/>
  <c r="K14" i="3"/>
  <c r="K13" i="3"/>
  <c r="Q17" i="3"/>
  <c r="S14" i="3"/>
  <c r="S13" i="3"/>
  <c r="F11" i="8" l="1"/>
  <c r="I13" i="3"/>
  <c r="I6" i="5"/>
  <c r="B27" i="10" l="1"/>
  <c r="E7" i="9"/>
  <c r="C11" i="8"/>
  <c r="F6" i="7"/>
  <c r="B20" i="4"/>
  <c r="E24" i="5"/>
  <c r="B28" i="10" l="1"/>
  <c r="E6" i="10"/>
  <c r="E7" i="10" s="1"/>
  <c r="Q3" i="10"/>
  <c r="E15" i="8"/>
  <c r="E14" i="8"/>
  <c r="E13" i="8"/>
  <c r="F6" i="8"/>
  <c r="F5" i="8"/>
  <c r="C10" i="8"/>
  <c r="E6" i="6"/>
  <c r="Q6" i="10" l="1"/>
  <c r="G12" i="7"/>
  <c r="P10" i="10" l="1"/>
  <c r="P9" i="10"/>
  <c r="C13" i="10"/>
  <c r="E8" i="9"/>
  <c r="E5" i="9"/>
  <c r="C12" i="6" l="1"/>
  <c r="C8" i="6"/>
  <c r="C7" i="6"/>
  <c r="E7" i="6" s="1"/>
  <c r="E20" i="6"/>
  <c r="E21" i="6"/>
  <c r="D18" i="4" l="1"/>
  <c r="B21" i="4"/>
  <c r="K26" i="4" s="1"/>
  <c r="G13" i="6"/>
  <c r="E23" i="5"/>
  <c r="E22" i="5"/>
  <c r="E21" i="5"/>
  <c r="E20" i="5"/>
  <c r="E18" i="5"/>
  <c r="E17" i="5"/>
  <c r="G6" i="5"/>
  <c r="F13" i="5"/>
  <c r="F12" i="5"/>
  <c r="F11" i="5"/>
  <c r="F10" i="5"/>
  <c r="F9" i="5"/>
  <c r="F8" i="5"/>
  <c r="F7" i="5"/>
  <c r="F6" i="5"/>
  <c r="B26" i="4" l="1"/>
  <c r="B27" i="4" s="1"/>
  <c r="F36" i="3"/>
  <c r="E6" i="8" l="1"/>
  <c r="G6" i="8" s="1"/>
  <c r="E5" i="8"/>
  <c r="G5" i="8" s="1"/>
  <c r="F13" i="7"/>
  <c r="G6" i="7"/>
  <c r="G12" i="5"/>
  <c r="I12" i="5" s="1"/>
  <c r="E13" i="5"/>
  <c r="E12" i="5"/>
  <c r="E11" i="5"/>
  <c r="E10" i="5"/>
  <c r="E9" i="5"/>
  <c r="E8" i="5"/>
  <c r="E7" i="5"/>
  <c r="G7" i="8" l="1"/>
  <c r="C11" i="6"/>
  <c r="E11" i="6" s="1"/>
  <c r="G11" i="6" s="1"/>
  <c r="G18" i="3" l="1"/>
  <c r="G17" i="3"/>
  <c r="G16" i="3"/>
  <c r="G15" i="3"/>
  <c r="G14" i="3"/>
  <c r="G13" i="3"/>
  <c r="G12" i="3"/>
  <c r="G11" i="3"/>
  <c r="G10" i="3"/>
  <c r="G9" i="3"/>
  <c r="G8" i="3"/>
  <c r="G6" i="3"/>
  <c r="F14" i="3"/>
  <c r="F13" i="3"/>
  <c r="F8" i="3"/>
  <c r="E12" i="3"/>
  <c r="E11" i="3"/>
  <c r="E10" i="3"/>
  <c r="E9" i="3"/>
  <c r="E8" i="3"/>
  <c r="E7" i="3"/>
  <c r="G7" i="3" s="1"/>
  <c r="E6" i="3"/>
  <c r="G38" i="3"/>
  <c r="E38" i="3"/>
  <c r="G29" i="3"/>
  <c r="F35" i="3"/>
  <c r="E34" i="3"/>
  <c r="G34" i="3" s="1"/>
  <c r="G47" i="3"/>
  <c r="E33" i="3"/>
  <c r="G33" i="3" s="1"/>
  <c r="G46" i="3"/>
  <c r="E32" i="3"/>
  <c r="E31" i="3"/>
  <c r="G31" i="3" s="1"/>
  <c r="E30" i="3"/>
  <c r="G30" i="3" s="1"/>
  <c r="E28" i="3"/>
  <c r="G28" i="3" s="1"/>
  <c r="G13" i="7"/>
  <c r="G19" i="3" l="1"/>
  <c r="G32" i="3"/>
  <c r="F11" i="7"/>
  <c r="G11" i="7" s="1"/>
  <c r="F10" i="7"/>
  <c r="G10" i="7" s="1"/>
  <c r="F9" i="7"/>
  <c r="G9" i="7" s="1"/>
  <c r="F8" i="7"/>
  <c r="G8" i="7" s="1"/>
  <c r="F7" i="7"/>
  <c r="G7" i="7" s="1"/>
  <c r="E10" i="6"/>
  <c r="G10" i="6" s="1"/>
  <c r="E9" i="6"/>
  <c r="G9" i="6" s="1"/>
  <c r="E12" i="6"/>
  <c r="G12" i="6" s="1"/>
  <c r="G10" i="5"/>
  <c r="I10" i="5" s="1"/>
  <c r="E8" i="6"/>
  <c r="G8" i="6" s="1"/>
  <c r="G7" i="6"/>
  <c r="C6" i="6"/>
  <c r="G6" i="6" s="1"/>
  <c r="G7" i="5"/>
  <c r="I7" i="5" s="1"/>
  <c r="E19" i="5"/>
  <c r="G13" i="5"/>
  <c r="I13" i="5" s="1"/>
  <c r="G11" i="5"/>
  <c r="I11" i="5" s="1"/>
  <c r="G9" i="5"/>
  <c r="I9" i="5" s="1"/>
  <c r="G8" i="5"/>
  <c r="I8" i="5" s="1"/>
  <c r="E6" i="5"/>
  <c r="G20" i="6" l="1"/>
  <c r="H20" i="6" s="1"/>
  <c r="K22" i="4"/>
  <c r="E37" i="3"/>
  <c r="G37" i="3" s="1"/>
  <c r="E36" i="3"/>
  <c r="G36" i="3" s="1"/>
  <c r="E35" i="3"/>
  <c r="G35" i="3" s="1"/>
  <c r="E18" i="3"/>
  <c r="E17" i="3"/>
  <c r="E16" i="3"/>
  <c r="E15" i="3"/>
  <c r="E14" i="3"/>
  <c r="E13" i="3"/>
  <c r="F11" i="4" l="1"/>
  <c r="G39" i="3"/>
  <c r="B30" i="4"/>
  <c r="K18" i="4" s="1"/>
  <c r="K14" i="4" s="1"/>
  <c r="B29" i="4"/>
  <c r="O17" i="4" l="1"/>
  <c r="F10" i="4"/>
  <c r="C11" i="4" s="1"/>
  <c r="G10" i="4"/>
  <c r="F9" i="4" l="1"/>
  <c r="C10" i="4" s="1"/>
  <c r="K10" i="4"/>
  <c r="C9" i="4" s="1"/>
  <c r="O13" i="4" l="1"/>
  <c r="P15" i="4" s="1"/>
  <c r="F8" i="4"/>
  <c r="K6" i="4"/>
  <c r="F6" i="4" s="1"/>
  <c r="G6" i="4" s="1"/>
  <c r="G9" i="4"/>
  <c r="C13" i="4"/>
  <c r="F13" i="4"/>
  <c r="G11" i="4"/>
  <c r="K2" i="4" l="1"/>
  <c r="C8" i="4"/>
  <c r="G13" i="4"/>
  <c r="F7" i="4"/>
  <c r="G7" i="4" s="1"/>
  <c r="C7" i="4"/>
  <c r="G8" i="4"/>
  <c r="C6" i="4"/>
  <c r="G16" i="9" l="1"/>
  <c r="Q7" i="10" s="1"/>
  <c r="R8" i="10"/>
  <c r="O5" i="4"/>
  <c r="Q15" i="4" s="1"/>
  <c r="Q16" i="4" l="1"/>
  <c r="R6" i="10"/>
  <c r="G16" i="10"/>
  <c r="G13" i="10"/>
  <c r="Q8" i="10"/>
  <c r="R7" i="10"/>
  <c r="C14" i="10" l="1"/>
  <c r="C15" i="10" s="1"/>
  <c r="C16" i="10" s="1"/>
  <c r="C17" i="10" s="1"/>
  <c r="C18" i="10" s="1"/>
  <c r="C19" i="10" s="1"/>
  <c r="C20" i="10" s="1"/>
  <c r="C21" i="10" s="1"/>
  <c r="C22" i="10" s="1"/>
  <c r="G14" i="10"/>
  <c r="C23" i="10" l="1"/>
  <c r="C12" i="10" s="1"/>
  <c r="G19" i="10" s="1"/>
  <c r="R9" i="10" l="1"/>
  <c r="Q9" i="10"/>
  <c r="Q10" i="10" s="1"/>
  <c r="R10" i="10" l="1"/>
</calcChain>
</file>

<file path=xl/sharedStrings.xml><?xml version="1.0" encoding="utf-8"?>
<sst xmlns="http://schemas.openxmlformats.org/spreadsheetml/2006/main" count="327" uniqueCount="223">
  <si>
    <t>Proveedores</t>
  </si>
  <si>
    <t>CABA</t>
  </si>
  <si>
    <t>GBA</t>
  </si>
  <si>
    <t>Interior</t>
  </si>
  <si>
    <t>http://www.azzanosrl.com.ar/</t>
  </si>
  <si>
    <t>Para todo lo que es teñido + recuperación de agua</t>
  </si>
  <si>
    <t xml:space="preserve">GBA </t>
  </si>
  <si>
    <t>http://mapeko.com.ar/textiles/</t>
  </si>
  <si>
    <t>3 marcas de máquinas para teñido</t>
  </si>
  <si>
    <t>Telar</t>
  </si>
  <si>
    <t>(http://www.danitech.it/produzione-daniflow/#1508318161328-b994e802-1f42)</t>
  </si>
  <si>
    <t>Consumo energía, agua y otros servicios</t>
  </si>
  <si>
    <t>https://www.calderasvapor.com/productos/</t>
  </si>
  <si>
    <t>Artículo</t>
  </si>
  <si>
    <t>Cantidad</t>
  </si>
  <si>
    <t>Horas por mes</t>
  </si>
  <si>
    <t>Consumo mensual</t>
  </si>
  <si>
    <t>Área administración / comercial ENERGÍA</t>
  </si>
  <si>
    <t>Impresora</t>
  </si>
  <si>
    <t>Heladera</t>
  </si>
  <si>
    <t>Microondas</t>
  </si>
  <si>
    <t xml:space="preserve">Cafetera </t>
  </si>
  <si>
    <t>Tostadora</t>
  </si>
  <si>
    <t>Equipos de limpieza</t>
  </si>
  <si>
    <t>Área producción ENERGÍA</t>
  </si>
  <si>
    <t>Máquina costura longitudinal</t>
  </si>
  <si>
    <t>Máquina corte y costura transversal</t>
  </si>
  <si>
    <t>Bordadora</t>
  </si>
  <si>
    <t>Teñidora</t>
  </si>
  <si>
    <t>Máquina de lavado</t>
  </si>
  <si>
    <t>Puente grúa</t>
  </si>
  <si>
    <t>Máquina de coser recta</t>
  </si>
  <si>
    <t>AGUA</t>
  </si>
  <si>
    <t>El telar consume 9kw/h (ver PDF MEI_R9500)</t>
  </si>
  <si>
    <t>KW/h x unidad</t>
  </si>
  <si>
    <t>KW/h total</t>
  </si>
  <si>
    <t>Fabricante</t>
  </si>
  <si>
    <t>31,1 lt/kg</t>
  </si>
  <si>
    <t>0,16 kw/kg</t>
  </si>
  <si>
    <t>0,10 kw/kg</t>
  </si>
  <si>
    <t>11-28 lt/kg</t>
  </si>
  <si>
    <t>Esta máquina https://jasoindustrial.com/es-ar/gruas-industriales/birrail/  con este consumo  http://metalhersl.com/maquinaria.html</t>
  </si>
  <si>
    <t>Simiñar al telar</t>
  </si>
  <si>
    <t>Origen de la información consumos</t>
  </si>
  <si>
    <t>https://www.argentina.gob.ar/enre/uso-eficiente-y-seguro/consumo-basico-electrodomesticos</t>
  </si>
  <si>
    <t>Aire acondicionado 3500 frigorías</t>
  </si>
  <si>
    <t>Notebook</t>
  </si>
  <si>
    <t>https://www.electrocalculator.com/</t>
  </si>
  <si>
    <t>Pava eléctrica</t>
  </si>
  <si>
    <t>https://www.ms-ingenieria.com.mx/sistemas-hvac/sistemas-de-ventilacion-especializados-en-la-industria-textil/</t>
  </si>
  <si>
    <t>Sistema de ventilación</t>
  </si>
  <si>
    <t>https://www.sinergia.tech/cuanto-consume-la-ventilacion-controlada-en-una-passivhaus/</t>
  </si>
  <si>
    <t>Iluminación oficinas LED</t>
  </si>
  <si>
    <t>Iluminación comedor LED</t>
  </si>
  <si>
    <t>Iluminación baños LED</t>
  </si>
  <si>
    <t>Iluminación pasillos LED</t>
  </si>
  <si>
    <t>Balance anual de material. Producción seccional</t>
  </si>
  <si>
    <t>Secciones</t>
  </si>
  <si>
    <t>Teñido</t>
  </si>
  <si>
    <t>Tejido</t>
  </si>
  <si>
    <t>Costura longitudinal</t>
  </si>
  <si>
    <t>Corte y costura transversal</t>
  </si>
  <si>
    <t>Empaquetado</t>
  </si>
  <si>
    <t>Peso por toallón</t>
  </si>
  <si>
    <t>gr</t>
  </si>
  <si>
    <t>Peso prod anual</t>
  </si>
  <si>
    <t>Prod anual</t>
  </si>
  <si>
    <t>kg</t>
  </si>
  <si>
    <t>Desperdicio</t>
  </si>
  <si>
    <t>encoge</t>
  </si>
  <si>
    <t>Conos hilo x lote</t>
  </si>
  <si>
    <t>Peso por cono</t>
  </si>
  <si>
    <t xml:space="preserve">Conos para prod </t>
  </si>
  <si>
    <t>Peso total</t>
  </si>
  <si>
    <t>70% long</t>
  </si>
  <si>
    <t>30% transversal</t>
  </si>
  <si>
    <t>Adicional bordes</t>
  </si>
  <si>
    <t>Agregado</t>
  </si>
  <si>
    <t>Alimentación</t>
  </si>
  <si>
    <t>Producción seccional</t>
  </si>
  <si>
    <t>-</t>
  </si>
  <si>
    <t>0,5% NR</t>
  </si>
  <si>
    <t>Ritmo de trabajo</t>
  </si>
  <si>
    <t>Sección</t>
  </si>
  <si>
    <t>Días/año</t>
  </si>
  <si>
    <t>Horas/día</t>
  </si>
  <si>
    <t>C y C transversal</t>
  </si>
  <si>
    <t>Turno</t>
  </si>
  <si>
    <t>Horas/turno</t>
  </si>
  <si>
    <t>Horas activas/año</t>
  </si>
  <si>
    <t>Horas activas</t>
  </si>
  <si>
    <t>Operarios</t>
  </si>
  <si>
    <t>Hs/año</t>
  </si>
  <si>
    <t>Control de calidad</t>
  </si>
  <si>
    <t>4 toallas, 6'35''</t>
  </si>
  <si>
    <t>Lavado</t>
  </si>
  <si>
    <t>6,75 hs 1200kg</t>
  </si>
  <si>
    <t>2500mts/hora</t>
  </si>
  <si>
    <t>3 toallas, 25''</t>
  </si>
  <si>
    <t>Capac. Teórica [máq / hora]</t>
  </si>
  <si>
    <t>Horas activas / año</t>
  </si>
  <si>
    <t>Capacidad teórica [máq/año]</t>
  </si>
  <si>
    <t>Rendimiento operativo</t>
  </si>
  <si>
    <t>Capac. Real [máq/año]</t>
  </si>
  <si>
    <t>Capacidad real [máq / año]</t>
  </si>
  <si>
    <t xml:space="preserve">Encoge </t>
  </si>
  <si>
    <t>4% NR</t>
  </si>
  <si>
    <t>2% NR</t>
  </si>
  <si>
    <t>Cantidad de máquinas</t>
  </si>
  <si>
    <t>Capacidad real por sección</t>
  </si>
  <si>
    <t>Aprovechamiento seccional</t>
  </si>
  <si>
    <t>Capacidad real anual de la maquinaria tipo de cada sección</t>
  </si>
  <si>
    <t>Máquinas operativas por sección. Capacidad real anual de cada sección y aprovechamiento en relación al programa</t>
  </si>
  <si>
    <t>2'</t>
  </si>
  <si>
    <t>1 toallon</t>
  </si>
  <si>
    <t>60'</t>
  </si>
  <si>
    <t>Programa anual de producción [unidades equivalente]</t>
  </si>
  <si>
    <t>404 toall/hora</t>
  </si>
  <si>
    <t>1785 toall/hora</t>
  </si>
  <si>
    <t>Horas / mes</t>
  </si>
  <si>
    <t>Iluminación LED</t>
  </si>
  <si>
    <t>Subtotal</t>
  </si>
  <si>
    <t>kg/mes</t>
  </si>
  <si>
    <t>Bordado (opcional)</t>
  </si>
  <si>
    <t>Bordado</t>
  </si>
  <si>
    <t>1 logo lleva 1800 puntadas (ej logo NIKE)</t>
  </si>
  <si>
    <t>la máquina tiene una capacidad de 200-1000 puntadas/min, se toma 600</t>
  </si>
  <si>
    <t>3' hace 15 bordados</t>
  </si>
  <si>
    <t>Evolución de la producción</t>
  </si>
  <si>
    <t>Mes</t>
  </si>
  <si>
    <t>Ritmo de prod. Al inicio</t>
  </si>
  <si>
    <t>Ritmo de prod. Al final</t>
  </si>
  <si>
    <t>Producción promedio</t>
  </si>
  <si>
    <t>Producción mensual promedio</t>
  </si>
  <si>
    <t>Producción propuesta</t>
  </si>
  <si>
    <t>Total</t>
  </si>
  <si>
    <t>Stock promedio del producto elaborado</t>
  </si>
  <si>
    <t>Prod. Anual</t>
  </si>
  <si>
    <t>Prod semanal</t>
  </si>
  <si>
    <t xml:space="preserve">11 meses </t>
  </si>
  <si>
    <t>Stoc promedio</t>
  </si>
  <si>
    <t>Consumo de MP para el prograna de producción y formación de la mercadería en curso y semielaborado</t>
  </si>
  <si>
    <t xml:space="preserve"> kg por toallon</t>
  </si>
  <si>
    <t>prod</t>
  </si>
  <si>
    <t>desp</t>
  </si>
  <si>
    <t>año 1</t>
  </si>
  <si>
    <t>subtotal MP año 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</si>
  <si>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</si>
  <si>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</si>
  <si>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</si>
  <si>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</si>
  <si>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</si>
  <si>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</si>
  <si>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</si>
  <si>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</si>
  <si>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</si>
  <si>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</si>
  <si>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</si>
  <si>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Compras [KG]</t>
  </si>
  <si>
    <t>Stock [KG]</t>
  </si>
  <si>
    <t>A fin del mes</t>
  </si>
  <si>
    <t>Diciembre</t>
  </si>
  <si>
    <t>Consumo</t>
  </si>
  <si>
    <t>todos menos febrero</t>
  </si>
  <si>
    <t>febrero</t>
  </si>
  <si>
    <t>Ventas</t>
  </si>
  <si>
    <t>Stock promedio de elaborado</t>
  </si>
  <si>
    <t>Producción</t>
  </si>
  <si>
    <t>Desperdicio no recuperable</t>
  </si>
  <si>
    <t>En curso y semielaborado</t>
  </si>
  <si>
    <t>Consumo materia prima</t>
  </si>
  <si>
    <t>Stock materia prima</t>
  </si>
  <si>
    <t>Compra materia prima</t>
  </si>
  <si>
    <t>Materia prima [kg]</t>
  </si>
  <si>
    <t>Período de instalación</t>
  </si>
  <si>
    <t xml:space="preserve">Año 1 </t>
  </si>
  <si>
    <t>Año 2 a N</t>
  </si>
  <si>
    <t>Unidad de medida</t>
  </si>
  <si>
    <t>Prod. terminado [u]</t>
  </si>
  <si>
    <t>conjuntos (165K toallas y 165K toallones)</t>
  </si>
  <si>
    <t>Peso por toalla</t>
  </si>
  <si>
    <t>Equivalente en toallón</t>
  </si>
  <si>
    <t>Desperdicios</t>
  </si>
  <si>
    <t>5 días a la semana, 48 semanas</t>
  </si>
  <si>
    <t>2 op por turno</t>
  </si>
  <si>
    <t>cada op trabaja todas las hs</t>
  </si>
  <si>
    <t>1 toallón 440gr</t>
  </si>
  <si>
    <t>1 toallón 1,4mts</t>
  </si>
  <si>
    <t>+2625 kg</t>
  </si>
  <si>
    <t>+6125 kg</t>
  </si>
  <si>
    <t>5,5 seg/toalla</t>
  </si>
  <si>
    <t>3 toallones 1'</t>
  </si>
  <si>
    <t>11 seg/toallon</t>
  </si>
  <si>
    <t>Como se usa unidades equivalentes en toallón se toma 11 seg</t>
  </si>
  <si>
    <t>unidades al año, 11 messes</t>
  </si>
  <si>
    <t>Producción mensual</t>
  </si>
  <si>
    <t>Producción 9 meses restantes:</t>
  </si>
  <si>
    <t>Producción año 1:</t>
  </si>
  <si>
    <t>4 op por turno, CAMBIAR ESTO EN EL TP</t>
  </si>
  <si>
    <t>Conjuntos</t>
  </si>
  <si>
    <t>Toallas y toallones</t>
  </si>
  <si>
    <t>Este cuadro es tomando en unidades CONJUNTOS</t>
  </si>
  <si>
    <t>Mercadería en curso y SE</t>
  </si>
  <si>
    <t>Ciclo de elaboración 2 semanas (10 días hábiles por el tiempo de teñido)</t>
  </si>
  <si>
    <t>34 ciclos al año</t>
  </si>
  <si>
    <t>MP requerida por ciclo en régimen</t>
  </si>
  <si>
    <t>ESTO VA AL AÑO 1 !</t>
  </si>
  <si>
    <t xml:space="preserve">Compras </t>
  </si>
  <si>
    <t>Compra de MP es el correspondiente al PPM (24500 conjuntos)</t>
  </si>
  <si>
    <t>MP</t>
  </si>
  <si>
    <t>MP + desperdicio</t>
  </si>
  <si>
    <t>6125 kg</t>
  </si>
  <si>
    <t>2625 kg</t>
  </si>
  <si>
    <t>Tercerizar</t>
  </si>
  <si>
    <t>340/10</t>
  </si>
  <si>
    <t>Stock MP</t>
  </si>
  <si>
    <t>toall /hora</t>
  </si>
  <si>
    <t>Sobran 955</t>
  </si>
  <si>
    <t>Total KW</t>
  </si>
  <si>
    <t>KW con reducción</t>
  </si>
  <si>
    <t>Total agua</t>
  </si>
  <si>
    <t>Consumo con reducción</t>
  </si>
  <si>
    <t>Bordado (75% producción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</si>
</sst>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%"/>
    <numFmt numFmtId="167" formatCode="_-* #,##0.0_-;\-* #,##0.0_-;_-* &quot;-&quot;??_-;_-@_-"/>
    <numFmt numFmtId="168" formatCode="_-* #,##0.0_-;\-* #,##0.0_-;_-* &quot;-&quot;?_-;_-@_-"/>
    <numFmt numFmtId="169" formatCode="_-* #,##0.0000_-;\-* #,##0.0000_-;_-* &quot;-&quot;??_-;_-@_-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2" applyFont="1"/>
    <xf numFmtId="43" fontId="0" fillId="0" borderId="0" xfId="0" applyNumberFormat="1"/>
    <xf numFmtId="0" fontId="3" fillId="0" borderId="0" xfId="0" applyFont="1"/>
    <xf numFmtId="43" fontId="3" fillId="0" borderId="0" xfId="0" applyNumberFormat="1" applyFont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quotePrefix="1"/>
    <xf numFmtId="165" fontId="3" fillId="0" borderId="0" xfId="2" applyNumberFormat="1" applyFont="1"/>
    <xf numFmtId="165" fontId="0" fillId="0" borderId="0" xfId="2" applyNumberFormat="1" applyFont="1"/>
    <xf numFmtId="10" fontId="0" fillId="0" borderId="0" xfId="0" applyNumberFormat="1"/>
    <xf numFmtId="43" fontId="4" fillId="3" borderId="0" xfId="0" applyNumberFormat="1" applyFont="1" applyFill="1" applyBorder="1"/>
    <xf numFmtId="0" fontId="4" fillId="3" borderId="0" xfId="0" applyFont="1" applyFill="1" applyBorder="1"/>
    <xf numFmtId="0" fontId="0" fillId="0" borderId="0" xfId="0" quotePrefix="1" applyAlignment="1">
      <alignment horizontal="center"/>
    </xf>
    <xf numFmtId="43" fontId="0" fillId="0" borderId="0" xfId="2" applyFont="1" applyAlignment="1">
      <alignment horizontal="center"/>
    </xf>
    <xf numFmtId="9" fontId="0" fillId="0" borderId="0" xfId="3" applyFont="1"/>
    <xf numFmtId="166" fontId="0" fillId="0" borderId="0" xfId="3" applyNumberFormat="1" applyFont="1"/>
    <xf numFmtId="10" fontId="0" fillId="0" borderId="0" xfId="3" applyNumberFormat="1" applyFont="1"/>
    <xf numFmtId="165" fontId="0" fillId="0" borderId="0" xfId="2" applyNumberFormat="1" applyFont="1" applyAlignment="1">
      <alignment horizontal="center"/>
    </xf>
    <xf numFmtId="165" fontId="0" fillId="0" borderId="0" xfId="2" applyNumberFormat="1" applyFont="1" applyAlignment="1">
      <alignment vertical="center"/>
    </xf>
    <xf numFmtId="165" fontId="0" fillId="0" borderId="0" xfId="0" applyNumberFormat="1"/>
    <xf numFmtId="43" fontId="0" fillId="0" borderId="0" xfId="3" applyNumberFormat="1" applyFont="1"/>
    <xf numFmtId="165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0" xfId="1" applyFont="1"/>
    <xf numFmtId="0" fontId="0" fillId="2" borderId="0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43" fontId="0" fillId="0" borderId="0" xfId="0" applyNumberFormat="1" applyFont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9" fontId="0" fillId="0" borderId="0" xfId="3" applyFont="1" applyBorder="1" applyAlignment="1">
      <alignment horizontal="center" vertical="center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67" fontId="0" fillId="0" borderId="0" xfId="2" applyNumberFormat="1" applyFont="1" applyAlignment="1">
      <alignment horizontal="center"/>
    </xf>
    <xf numFmtId="167" fontId="0" fillId="0" borderId="0" xfId="0" applyNumberFormat="1"/>
    <xf numFmtId="168" fontId="0" fillId="0" borderId="0" xfId="0" applyNumberFormat="1"/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/>
    </xf>
    <xf numFmtId="43" fontId="0" fillId="0" borderId="0" xfId="2" applyFont="1" applyFill="1"/>
    <xf numFmtId="165" fontId="0" fillId="0" borderId="0" xfId="2" applyNumberFormat="1" applyFont="1" applyFill="1"/>
    <xf numFmtId="43" fontId="0" fillId="0" borderId="0" xfId="0" applyNumberFormat="1" applyFill="1"/>
    <xf numFmtId="166" fontId="0" fillId="0" borderId="0" xfId="3" applyNumberFormat="1" applyFont="1" applyFill="1"/>
    <xf numFmtId="0" fontId="0" fillId="0" borderId="0" xfId="0" applyFill="1"/>
    <xf numFmtId="43" fontId="0" fillId="0" borderId="0" xfId="2" applyFont="1" applyFill="1" applyAlignment="1">
      <alignment horizontal="center"/>
    </xf>
    <xf numFmtId="9" fontId="0" fillId="0" borderId="0" xfId="3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/>
    <xf numFmtId="1" fontId="0" fillId="0" borderId="0" xfId="0" applyNumberFormat="1" applyFont="1" applyAlignment="1">
      <alignment horizontal="center"/>
    </xf>
    <xf numFmtId="165" fontId="0" fillId="0" borderId="2" xfId="2" applyNumberFormat="1" applyFont="1" applyBorder="1" applyAlignment="1">
      <alignment horizontal="left"/>
    </xf>
    <xf numFmtId="0" fontId="0" fillId="0" borderId="0" xfId="0" applyFont="1" applyAlignment="1">
      <alignment horizontal="right"/>
    </xf>
    <xf numFmtId="169" fontId="0" fillId="0" borderId="0" xfId="0" applyNumberFormat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Proveedores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4">
                      <a:shade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hade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shade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9F-4846-9CEC-9D03878EA34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9F-4846-9CEC-9D03878EA34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tint val="6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tint val="6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tint val="6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9F-4846-9CEC-9D03878EA3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proveedores'!$B$4:$B$6</c:f>
              <c:strCache>
                <c:ptCount val="3"/>
                <c:pt idx="0">
                  <c:v>CABA</c:v>
                </c:pt>
                <c:pt idx="1">
                  <c:v>GBA</c:v>
                </c:pt>
                <c:pt idx="2">
                  <c:v>Interior</c:v>
                </c:pt>
              </c:strCache>
            </c:strRef>
          </c:cat>
          <c:val>
            <c:numRef>
              <c:f>'Gráficos proveedores'!$C$4:$C$6</c:f>
              <c:numCache>
                <c:formatCode>General</c:formatCode>
                <c:ptCount val="3"/>
                <c:pt idx="0">
                  <c:v>7</c:v>
                </c:pt>
                <c:pt idx="1">
                  <c:v>12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F-4D1F-9823-FAB9ADCC23A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Tecnología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4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BB-44E3-9C11-148498DF047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BB-44E3-9C11-148498DF04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'Gráficos proveedores'!$O$3:$O$4</c:f>
              <c:strCache>
                <c:ptCount val="2"/>
                <c:pt idx="0">
                  <c:v>CABA</c:v>
                </c:pt>
                <c:pt idx="1">
                  <c:v>GBA </c:v>
                </c:pt>
              </c:strCache>
            </c:strRef>
          </c:cat>
          <c:val>
            <c:numRef>
              <c:f>'Gráficos proveedores'!$P$3:$P$4</c:f>
              <c:numCache>
                <c:formatCode>General</c:formatCode>
                <c:ptCount val="2"/>
                <c:pt idx="0">
                  <c:v>2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C-446A-923A-647889B436E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179070</xdr:rowOff>
    </xdr:from>
    <xdr:to>
      <xdr:col>11</xdr:col>
      <xdr:colOff>304800</xdr:colOff>
      <xdr:row>16</xdr:row>
      <xdr:rowOff>179070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D282B1-6577-4632-923F-39631037F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152400</xdr:colOff>
      <xdr:row>6</xdr:row>
      <xdr:rowOff>41910</xdr:rowOff>
    </xdr:from>
    <xdr:to>
      <xdr:col>20</xdr:col>
      <xdr:colOff>457200</xdr:colOff>
      <xdr:row>21</xdr:row>
      <xdr:rowOff>41910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C357B7C-FF99-4503-AB5B-303F976737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12</xdr:row>
      <xdr:rowOff>45720</xdr:rowOff>
    </xdr:from>
    <xdr:to>
      <xdr:col>11</xdr:col>
      <xdr:colOff>222103</xdr:colOff>
      <xdr:row>34</xdr:row>
      <xdr:rowOff>22360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F80AE1-1E29-4CDD-8804-3206CCA26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" y="2240280"/>
          <a:ext cx="6257143" cy="40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7620</xdr:rowOff>
    </xdr:from>
    <xdr:to>
      <xdr:col>12</xdr:col>
      <xdr:colOff>7620</xdr:colOff>
      <xdr:row>5</xdr:row>
      <xdr:rowOff>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A76AE481-10AF-4EED-AE05-586A18FF0216}"/>
            </a:ext>
          </a:extLst>
        </xdr:cNvPr>
        <xdr:cNvSpPr/>
      </xdr:nvSpPr>
      <xdr:spPr>
        <a:xfrm>
          <a:off x="4107180" y="373380"/>
          <a:ext cx="1226820" cy="35814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AR" sz="1100" baseline="0"/>
            <a:t> Tejido</a:t>
          </a:r>
          <a:endParaRPr lang="es-AR" sz="1100"/>
        </a:p>
      </xdr:txBody>
    </xdr:sp>
    <xdr:clientData/>
  </xdr:twoCellAnchor>
  <xdr:twoCellAnchor>
    <xdr:from>
      <xdr:col>10</xdr:col>
      <xdr:colOff>0</xdr:colOff>
      <xdr:row>6</xdr:row>
      <xdr:rowOff>160020</xdr:rowOff>
    </xdr:from>
    <xdr:to>
      <xdr:col>12</xdr:col>
      <xdr:colOff>7620</xdr:colOff>
      <xdr:row>8</xdr:row>
      <xdr:rowOff>167640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D73AE60E-5B4D-46BE-A96F-25B3460E9404}"/>
            </a:ext>
          </a:extLst>
        </xdr:cNvPr>
        <xdr:cNvSpPr/>
      </xdr:nvSpPr>
      <xdr:spPr>
        <a:xfrm>
          <a:off x="9608820" y="1257300"/>
          <a:ext cx="1394460" cy="37338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AR" sz="1100"/>
            <a:t>Cost</a:t>
          </a:r>
          <a:r>
            <a:rPr lang="es-AR" sz="1100" baseline="0"/>
            <a:t> longitudinal</a:t>
          </a:r>
          <a:endParaRPr lang="es-AR" sz="1100"/>
        </a:p>
      </xdr:txBody>
    </xdr:sp>
    <xdr:clientData/>
  </xdr:twoCellAnchor>
  <xdr:twoCellAnchor>
    <xdr:from>
      <xdr:col>10</xdr:col>
      <xdr:colOff>0</xdr:colOff>
      <xdr:row>11</xdr:row>
      <xdr:rowOff>7620</xdr:rowOff>
    </xdr:from>
    <xdr:to>
      <xdr:col>12</xdr:col>
      <xdr:colOff>7620</xdr:colOff>
      <xdr:row>13</xdr:row>
      <xdr:rowOff>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75B69A9C-62A5-468F-B307-164548267024}"/>
            </a:ext>
          </a:extLst>
        </xdr:cNvPr>
        <xdr:cNvSpPr/>
      </xdr:nvSpPr>
      <xdr:spPr>
        <a:xfrm>
          <a:off x="9608820" y="2019300"/>
          <a:ext cx="1394460" cy="35814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AR" sz="1100"/>
            <a:t>Teñido</a:t>
          </a:r>
        </a:p>
      </xdr:txBody>
    </xdr:sp>
    <xdr:clientData/>
  </xdr:twoCellAnchor>
  <xdr:twoCellAnchor>
    <xdr:from>
      <xdr:col>10</xdr:col>
      <xdr:colOff>15240</xdr:colOff>
      <xdr:row>22</xdr:row>
      <xdr:rowOff>175260</xdr:rowOff>
    </xdr:from>
    <xdr:to>
      <xdr:col>11</xdr:col>
      <xdr:colOff>601980</xdr:colOff>
      <xdr:row>24</xdr:row>
      <xdr:rowOff>167640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EC8293FF-3801-46FC-A558-3AB078CC2E5C}"/>
            </a:ext>
          </a:extLst>
        </xdr:cNvPr>
        <xdr:cNvSpPr/>
      </xdr:nvSpPr>
      <xdr:spPr>
        <a:xfrm>
          <a:off x="9624060" y="4198620"/>
          <a:ext cx="1363980" cy="35814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AR" sz="1100"/>
            <a:t>Empaquetado</a:t>
          </a:r>
        </a:p>
      </xdr:txBody>
    </xdr:sp>
    <xdr:clientData/>
  </xdr:twoCellAnchor>
  <xdr:twoCellAnchor>
    <xdr:from>
      <xdr:col>9</xdr:col>
      <xdr:colOff>701040</xdr:colOff>
      <xdr:row>19</xdr:row>
      <xdr:rowOff>15240</xdr:rowOff>
    </xdr:from>
    <xdr:to>
      <xdr:col>12</xdr:col>
      <xdr:colOff>0</xdr:colOff>
      <xdr:row>21</xdr:row>
      <xdr:rowOff>7620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B6FEAF50-2017-4C72-8E55-B14475DD563B}"/>
            </a:ext>
          </a:extLst>
        </xdr:cNvPr>
        <xdr:cNvSpPr/>
      </xdr:nvSpPr>
      <xdr:spPr>
        <a:xfrm>
          <a:off x="9601200" y="3489960"/>
          <a:ext cx="1394460" cy="35814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AR" sz="1100"/>
            <a:t>C</a:t>
          </a:r>
          <a:r>
            <a:rPr lang="es-AR" sz="1100" baseline="0"/>
            <a:t> y C transversal</a:t>
          </a:r>
          <a:endParaRPr lang="es-AR" sz="1100"/>
        </a:p>
      </xdr:txBody>
    </xdr:sp>
    <xdr:clientData/>
  </xdr:twoCellAnchor>
  <xdr:twoCellAnchor>
    <xdr:from>
      <xdr:col>10</xdr:col>
      <xdr:colOff>0</xdr:colOff>
      <xdr:row>14</xdr:row>
      <xdr:rowOff>167640</xdr:rowOff>
    </xdr:from>
    <xdr:to>
      <xdr:col>12</xdr:col>
      <xdr:colOff>7620</xdr:colOff>
      <xdr:row>16</xdr:row>
      <xdr:rowOff>160020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A371687F-B3A0-4A5A-8BB8-6ABF3B2099AF}"/>
            </a:ext>
          </a:extLst>
        </xdr:cNvPr>
        <xdr:cNvSpPr/>
      </xdr:nvSpPr>
      <xdr:spPr>
        <a:xfrm>
          <a:off x="9608820" y="2727960"/>
          <a:ext cx="1394460" cy="35814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AR" sz="1100"/>
            <a:t>Lavado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nitech.it/produzione-daniflow/" TargetMode="External"/><Relationship Id="rId2" Type="http://schemas.openxmlformats.org/officeDocument/2006/relationships/hyperlink" Target="http://mapeko.com.ar/textiles/" TargetMode="External"/><Relationship Id="rId1" Type="http://schemas.openxmlformats.org/officeDocument/2006/relationships/hyperlink" Target="http://www.azzanosrl.com.ar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https://www.calderasvapor.com/producto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ctrocalculator.com/" TargetMode="External"/><Relationship Id="rId2" Type="http://schemas.openxmlformats.org/officeDocument/2006/relationships/hyperlink" Target="https://www.argentina.gob.ar/enre/uso-eficiente-y-seguro/consumo-basico-electrodomesticos" TargetMode="External"/><Relationship Id="rId1" Type="http://schemas.openxmlformats.org/officeDocument/2006/relationships/hyperlink" Target="https://jasoindustrial.com/es-ar/gruas-industriales/birrail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inergia.tech/cuanto-consume-la-ventilacion-controlada-en-una-passivhaus/" TargetMode="External"/><Relationship Id="rId4" Type="http://schemas.openxmlformats.org/officeDocument/2006/relationships/hyperlink" Target="https://www.ms-ingenieria.com.mx/sistemas-hvac/sistemas-de-ventilacion-especializados-en-la-industria-textil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CAA90-3FF7-425F-8AE0-E2EDFA8D7207}">
  <dimension ref="B3:P6"/>
  <sheetViews>
    <sheetView topLeftCell="C1" workbookViewId="0">
      <selection activeCell="M5" sqref="M5"/>
    </sheetView>
  </sheetViews>
  <sheetFormatPr defaultRowHeight="14.4" x14ac:dyDescent="0.3"/>
  <sheetData>
    <row r="3" spans="2:16" x14ac:dyDescent="0.3">
      <c r="B3" t="s">
        <v>0</v>
      </c>
      <c r="O3" t="s">
        <v>1</v>
      </c>
      <c r="P3">
        <v>2</v>
      </c>
    </row>
    <row r="4" spans="2:16" x14ac:dyDescent="0.3">
      <c r="B4" t="s">
        <v>1</v>
      </c>
      <c r="C4">
        <v>7</v>
      </c>
      <c r="O4" t="s">
        <v>6</v>
      </c>
      <c r="P4">
        <v>6</v>
      </c>
    </row>
    <row r="5" spans="2:16" x14ac:dyDescent="0.3">
      <c r="B5" t="s">
        <v>2</v>
      </c>
      <c r="C5">
        <v>12</v>
      </c>
    </row>
    <row r="6" spans="2:16" x14ac:dyDescent="0.3">
      <c r="B6" t="s">
        <v>3</v>
      </c>
      <c r="C6">
        <v>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47697-5C67-492B-B847-9433315712BD}">
  <dimension ref="A2:S28"/>
  <sheetViews>
    <sheetView tabSelected="1" workbookViewId="0">
      <selection activeCell="K13" sqref="K13"/>
    </sheetView>
  </sheetViews>
  <sheetFormatPr defaultRowHeight="14.4" x14ac:dyDescent="0.3"/>
  <cols>
    <col min="2" max="2" width="13.77734375" customWidth="1"/>
    <col min="3" max="3" width="13.5546875" customWidth="1"/>
    <col min="4" max="4" width="12.109375" customWidth="1"/>
    <col min="5" max="5" width="11.33203125" bestFit="1" customWidth="1"/>
    <col min="6" max="7" width="9.33203125" bestFit="1" customWidth="1"/>
    <col min="14" max="14" width="25.44140625" bestFit="1" customWidth="1"/>
    <col min="15" max="15" width="18.33203125" bestFit="1" customWidth="1"/>
    <col min="16" max="16" width="9.77734375" bestFit="1" customWidth="1"/>
    <col min="18" max="18" width="10.33203125" bestFit="1" customWidth="1"/>
  </cols>
  <sheetData>
    <row r="2" spans="1:19" ht="28.8" x14ac:dyDescent="0.3">
      <c r="A2">
        <v>9</v>
      </c>
      <c r="B2" t="s">
        <v>141</v>
      </c>
      <c r="N2" s="40"/>
      <c r="O2" s="40" t="s">
        <v>177</v>
      </c>
      <c r="P2" s="41" t="s">
        <v>174</v>
      </c>
      <c r="Q2" s="40" t="s">
        <v>175</v>
      </c>
      <c r="R2" s="40" t="s">
        <v>176</v>
      </c>
    </row>
    <row r="3" spans="1:19" x14ac:dyDescent="0.3">
      <c r="E3">
        <v>0.4</v>
      </c>
      <c r="F3" t="s">
        <v>142</v>
      </c>
      <c r="N3" s="43" t="s">
        <v>165</v>
      </c>
      <c r="O3" s="43" t="s">
        <v>178</v>
      </c>
      <c r="P3" s="43"/>
      <c r="Q3" s="53">
        <f>Q5-Q4</f>
        <v>222403</v>
      </c>
      <c r="R3" s="53">
        <v>245000</v>
      </c>
    </row>
    <row r="4" spans="1:19" x14ac:dyDescent="0.3">
      <c r="B4" t="s">
        <v>145</v>
      </c>
      <c r="N4" s="43" t="s">
        <v>166</v>
      </c>
      <c r="O4" s="43" t="s">
        <v>178</v>
      </c>
      <c r="P4" s="43"/>
      <c r="Q4" s="53">
        <v>2552</v>
      </c>
      <c r="R4" s="53">
        <v>2552</v>
      </c>
    </row>
    <row r="5" spans="1:19" x14ac:dyDescent="0.3">
      <c r="B5" t="s">
        <v>143</v>
      </c>
      <c r="C5">
        <v>224955</v>
      </c>
      <c r="D5" t="s">
        <v>199</v>
      </c>
      <c r="E5" s="4">
        <f>224955*E3+224955*0.1</f>
        <v>112477.5</v>
      </c>
      <c r="F5" t="s">
        <v>67</v>
      </c>
      <c r="N5" s="43" t="s">
        <v>167</v>
      </c>
      <c r="O5" s="43" t="s">
        <v>178</v>
      </c>
      <c r="P5" s="43"/>
      <c r="Q5" s="53">
        <v>224955</v>
      </c>
      <c r="R5" s="53">
        <v>245000</v>
      </c>
    </row>
    <row r="6" spans="1:19" x14ac:dyDescent="0.3">
      <c r="B6" t="s">
        <v>144</v>
      </c>
      <c r="C6" s="21">
        <v>6.5000000000000002E-2</v>
      </c>
      <c r="E6" s="4">
        <f>C6*E5</f>
        <v>7311.0375000000004</v>
      </c>
      <c r="N6" s="43" t="s">
        <v>168</v>
      </c>
      <c r="O6" s="43" t="s">
        <v>173</v>
      </c>
      <c r="P6" s="43"/>
      <c r="Q6" s="53">
        <f>E6</f>
        <v>7311.0375000000004</v>
      </c>
      <c r="R6" s="54">
        <f>'Ej1'!Q15</f>
        <v>9408.8896865278657</v>
      </c>
    </row>
    <row r="7" spans="1:19" x14ac:dyDescent="0.3">
      <c r="B7" t="s">
        <v>146</v>
      </c>
      <c r="E7" s="4">
        <f>SUM(E5:E6)</f>
        <v>119788.53750000001</v>
      </c>
      <c r="N7" s="43" t="s">
        <v>169</v>
      </c>
      <c r="O7" s="43" t="s">
        <v>173</v>
      </c>
      <c r="P7" s="43"/>
      <c r="Q7" s="53">
        <f>'Ej7'!G16</f>
        <v>4497.3202848978781</v>
      </c>
      <c r="R7" s="53">
        <f>Q7</f>
        <v>4497.3202848978781</v>
      </c>
      <c r="S7" s="6"/>
    </row>
    <row r="8" spans="1:19" x14ac:dyDescent="0.3">
      <c r="N8" s="43" t="s">
        <v>170</v>
      </c>
      <c r="O8" s="43" t="s">
        <v>173</v>
      </c>
      <c r="P8" s="43"/>
      <c r="Q8" s="53">
        <f>E7+Q7</f>
        <v>124285.85778489789</v>
      </c>
      <c r="R8" s="53">
        <f>'Ej1'!C6</f>
        <v>152908.88968652787</v>
      </c>
    </row>
    <row r="9" spans="1:19" x14ac:dyDescent="0.3">
      <c r="N9" s="43" t="s">
        <v>171</v>
      </c>
      <c r="O9" s="43" t="s">
        <v>173</v>
      </c>
      <c r="P9" s="53">
        <f>13000</f>
        <v>13000</v>
      </c>
      <c r="Q9" s="53">
        <f>$G$19</f>
        <v>17376.010191650879</v>
      </c>
      <c r="R9" s="53">
        <f>$G$19</f>
        <v>17376.010191650879</v>
      </c>
    </row>
    <row r="10" spans="1:19" x14ac:dyDescent="0.3">
      <c r="N10" s="43" t="s">
        <v>172</v>
      </c>
      <c r="O10" s="43" t="s">
        <v>173</v>
      </c>
      <c r="P10" s="53">
        <f>13000</f>
        <v>13000</v>
      </c>
      <c r="Q10" s="53">
        <f>Q8+Q9-P10</f>
        <v>128661.86797654876</v>
      </c>
      <c r="R10" s="53">
        <f>R8+R9-Q9</f>
        <v>152908.88968652787</v>
      </c>
    </row>
    <row r="11" spans="1:19" x14ac:dyDescent="0.3">
      <c r="B11" s="2" t="s">
        <v>160</v>
      </c>
      <c r="C11" s="2" t="s">
        <v>159</v>
      </c>
      <c r="D11" s="2" t="s">
        <v>158</v>
      </c>
    </row>
    <row r="12" spans="1:19" x14ac:dyDescent="0.3">
      <c r="B12" s="3" t="s">
        <v>147</v>
      </c>
      <c r="C12" s="50">
        <f>C23-G14</f>
        <v>6950.404076660343</v>
      </c>
      <c r="D12" s="50"/>
    </row>
    <row r="13" spans="1:19" x14ac:dyDescent="0.3">
      <c r="B13" s="3" t="s">
        <v>148</v>
      </c>
      <c r="C13" s="50">
        <f>D13</f>
        <v>15290.888968652787</v>
      </c>
      <c r="D13" s="50">
        <v>15290.888968652787</v>
      </c>
      <c r="F13" t="s">
        <v>162</v>
      </c>
      <c r="G13" s="11">
        <f>R8/11</f>
        <v>13900.808153320715</v>
      </c>
      <c r="H13" t="s">
        <v>163</v>
      </c>
      <c r="N13" s="63" t="s">
        <v>201</v>
      </c>
      <c r="O13" s="3"/>
    </row>
    <row r="14" spans="1:19" x14ac:dyDescent="0.3">
      <c r="B14" s="3" t="s">
        <v>149</v>
      </c>
      <c r="C14" s="50">
        <f>C13+D14-G13</f>
        <v>16680.96978398486</v>
      </c>
      <c r="D14" s="50">
        <v>15290.888968652787</v>
      </c>
      <c r="G14" s="11">
        <f>G13/2</f>
        <v>6950.4040766603575</v>
      </c>
      <c r="H14" t="s">
        <v>164</v>
      </c>
    </row>
    <row r="15" spans="1:19" x14ac:dyDescent="0.3">
      <c r="B15" s="3" t="s">
        <v>150</v>
      </c>
      <c r="C15" s="50">
        <f>C14+D15-G13</f>
        <v>18071.050599316932</v>
      </c>
      <c r="D15" s="50">
        <v>15290.888968652787</v>
      </c>
    </row>
    <row r="16" spans="1:19" x14ac:dyDescent="0.3">
      <c r="B16" s="3" t="s">
        <v>151</v>
      </c>
      <c r="C16" s="50">
        <f>C15+D16-G13</f>
        <v>19461.131414649004</v>
      </c>
      <c r="D16" s="50">
        <v>15290.888968652787</v>
      </c>
      <c r="F16" t="s">
        <v>207</v>
      </c>
      <c r="G16" s="11">
        <f>R8/10</f>
        <v>15290.888968652787</v>
      </c>
    </row>
    <row r="17" spans="2:7" x14ac:dyDescent="0.3">
      <c r="B17" s="3" t="s">
        <v>152</v>
      </c>
      <c r="C17" s="50">
        <f>C16+D17-G13</f>
        <v>20851.212229981073</v>
      </c>
      <c r="D17" s="50">
        <v>15290.888968652787</v>
      </c>
    </row>
    <row r="18" spans="2:7" x14ac:dyDescent="0.3">
      <c r="B18" s="3" t="s">
        <v>153</v>
      </c>
      <c r="C18" s="50">
        <f>C17+D18-G13</f>
        <v>22241.293045313141</v>
      </c>
      <c r="D18" s="50">
        <v>15290.888968652787</v>
      </c>
    </row>
    <row r="19" spans="2:7" x14ac:dyDescent="0.3">
      <c r="B19" s="3" t="s">
        <v>154</v>
      </c>
      <c r="C19" s="50">
        <f>C18+D19-G13</f>
        <v>23631.37386064521</v>
      </c>
      <c r="D19" s="50">
        <v>15290.888968652787</v>
      </c>
      <c r="F19" t="s">
        <v>215</v>
      </c>
      <c r="G19" s="52">
        <f>(C22+C12)/2</f>
        <v>17376.010191650879</v>
      </c>
    </row>
    <row r="20" spans="2:7" x14ac:dyDescent="0.3">
      <c r="B20" s="3" t="s">
        <v>155</v>
      </c>
      <c r="C20" s="50">
        <f>C19+D20-G13</f>
        <v>25021.454675977278</v>
      </c>
      <c r="D20" s="50">
        <v>15290.888968652787</v>
      </c>
    </row>
    <row r="21" spans="2:7" x14ac:dyDescent="0.3">
      <c r="B21" s="3" t="s">
        <v>156</v>
      </c>
      <c r="C21" s="50">
        <f>C20+D21-G13</f>
        <v>26411.535491309347</v>
      </c>
      <c r="D21" s="50">
        <v>15290.888968652787</v>
      </c>
    </row>
    <row r="22" spans="2:7" x14ac:dyDescent="0.3">
      <c r="B22" s="3" t="s">
        <v>157</v>
      </c>
      <c r="C22" s="50">
        <f>C21+D22-G13</f>
        <v>27801.616306641416</v>
      </c>
      <c r="D22" s="50">
        <v>15290.888968652787</v>
      </c>
      <c r="F22" s="52"/>
    </row>
    <row r="23" spans="2:7" x14ac:dyDescent="0.3">
      <c r="B23" s="3" t="s">
        <v>161</v>
      </c>
      <c r="C23" s="50">
        <f>C22-G13</f>
        <v>13900.808153320701</v>
      </c>
      <c r="D23" s="50"/>
      <c r="F23" s="52"/>
    </row>
    <row r="24" spans="2:7" x14ac:dyDescent="0.3">
      <c r="C24" s="52"/>
    </row>
    <row r="25" spans="2:7" x14ac:dyDescent="0.3">
      <c r="C25" s="51"/>
    </row>
    <row r="26" spans="2:7" x14ac:dyDescent="0.3">
      <c r="B26" s="64" t="s">
        <v>208</v>
      </c>
      <c r="C26" s="52"/>
    </row>
    <row r="27" spans="2:7" x14ac:dyDescent="0.3">
      <c r="B27">
        <f>24500*0.4+24500*0.1</f>
        <v>12250</v>
      </c>
      <c r="C27" t="s">
        <v>209</v>
      </c>
    </row>
    <row r="28" spans="2:7" x14ac:dyDescent="0.3">
      <c r="B28">
        <f>B27*1.065</f>
        <v>13046.25</v>
      </c>
      <c r="C28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78614-4E7E-43D3-9695-8BDC0FEB0A2F}">
  <dimension ref="B3:E10"/>
  <sheetViews>
    <sheetView workbookViewId="0">
      <selection activeCell="B10" sqref="B10"/>
    </sheetView>
  </sheetViews>
  <sheetFormatPr defaultRowHeight="14.4" x14ac:dyDescent="0.3"/>
  <sheetData>
    <row r="3" spans="2:5" x14ac:dyDescent="0.3">
      <c r="B3" t="s">
        <v>0</v>
      </c>
    </row>
    <row r="5" spans="2:5" x14ac:dyDescent="0.3">
      <c r="B5" s="1" t="s">
        <v>4</v>
      </c>
      <c r="E5" t="s">
        <v>5</v>
      </c>
    </row>
    <row r="6" spans="2:5" x14ac:dyDescent="0.3">
      <c r="B6" s="1" t="s">
        <v>7</v>
      </c>
      <c r="E6" t="s">
        <v>8</v>
      </c>
    </row>
    <row r="7" spans="2:5" x14ac:dyDescent="0.3">
      <c r="B7" s="1" t="s">
        <v>10</v>
      </c>
    </row>
    <row r="8" spans="2:5" x14ac:dyDescent="0.3">
      <c r="B8" s="1" t="s">
        <v>12</v>
      </c>
    </row>
    <row r="10" spans="2:5" x14ac:dyDescent="0.3">
      <c r="B10" t="s">
        <v>33</v>
      </c>
    </row>
  </sheetData>
  <hyperlinks>
    <hyperlink ref="B5" r:id="rId1" xr:uid="{C5C83D7A-0051-431E-8152-D2146355D54E}"/>
    <hyperlink ref="B6" r:id="rId2" xr:uid="{2887876E-EB4F-4C13-A11F-A1611F19EDF7}"/>
    <hyperlink ref="B7" r:id="rId3" location="1508318161328-b994e802-1f42" display="http://www.danitech.it/produzione-daniflow/ - 1508318161328-b994e802-1f42" xr:uid="{BD276F1A-DB49-4445-A7DF-1BFC647A6E1F}"/>
    <hyperlink ref="B8" r:id="rId4" xr:uid="{A1F4B3E2-DF60-46D3-BDBC-A9A216CDA79E}"/>
  </hyperlinks>
  <pageMargins left="0.7" right="0.7" top="0.75" bottom="0.75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A6E0-C0AA-4F5B-AD18-A29A16708F70}">
  <dimension ref="B2:S49"/>
  <sheetViews>
    <sheetView showGridLines="0" topLeftCell="D1" zoomScale="90" zoomScaleNormal="90" workbookViewId="0">
      <selection activeCell="N19" sqref="N19"/>
    </sheetView>
  </sheetViews>
  <sheetFormatPr defaultRowHeight="14.4" x14ac:dyDescent="0.3"/>
  <cols>
    <col min="1" max="1" width="5.88671875" style="28" customWidth="1"/>
    <col min="2" max="2" width="37.88671875" style="32" bestFit="1" customWidth="1"/>
    <col min="3" max="3" width="9.88671875" style="28" bestFit="1" customWidth="1"/>
    <col min="4" max="4" width="14.21875" style="28" bestFit="1" customWidth="1"/>
    <col min="5" max="5" width="10.6640625" style="28" bestFit="1" customWidth="1"/>
    <col min="6" max="6" width="13.6640625" style="28" bestFit="1" customWidth="1"/>
    <col min="7" max="7" width="17" style="28" bestFit="1" customWidth="1"/>
    <col min="8" max="8" width="8.88671875" style="28"/>
    <col min="9" max="9" width="11.109375" style="28" bestFit="1" customWidth="1"/>
    <col min="10" max="10" width="8.88671875" style="28"/>
    <col min="11" max="11" width="11.109375" style="28" bestFit="1" customWidth="1"/>
    <col min="12" max="16384" width="8.88671875" style="28"/>
  </cols>
  <sheetData>
    <row r="2" spans="2:19" x14ac:dyDescent="0.3">
      <c r="B2" s="29" t="s">
        <v>11</v>
      </c>
      <c r="C2" s="30"/>
      <c r="D2" s="30"/>
      <c r="E2" s="30"/>
      <c r="F2" s="30"/>
    </row>
    <row r="3" spans="2:19" x14ac:dyDescent="0.3">
      <c r="B3" s="29"/>
      <c r="C3" s="30"/>
      <c r="D3" s="30"/>
      <c r="E3" s="30"/>
      <c r="F3" s="30"/>
    </row>
    <row r="4" spans="2:19" x14ac:dyDescent="0.3">
      <c r="B4" s="29" t="s">
        <v>17</v>
      </c>
      <c r="C4" s="31"/>
      <c r="D4" s="31"/>
      <c r="E4" s="31"/>
      <c r="F4" s="30"/>
    </row>
    <row r="5" spans="2:19" x14ac:dyDescent="0.3">
      <c r="B5" s="35" t="s">
        <v>13</v>
      </c>
      <c r="C5" s="35" t="s">
        <v>14</v>
      </c>
      <c r="D5" s="35" t="s">
        <v>34</v>
      </c>
      <c r="E5" s="35" t="s">
        <v>35</v>
      </c>
      <c r="F5" s="35" t="s">
        <v>15</v>
      </c>
      <c r="G5" s="35" t="s">
        <v>16</v>
      </c>
    </row>
    <row r="6" spans="2:19" x14ac:dyDescent="0.3">
      <c r="B6" s="33" t="s">
        <v>45</v>
      </c>
      <c r="C6" s="33">
        <v>2</v>
      </c>
      <c r="D6" s="33">
        <v>1.613</v>
      </c>
      <c r="E6" s="33">
        <f>C6*D6</f>
        <v>3.226</v>
      </c>
      <c r="F6" s="29">
        <v>160</v>
      </c>
      <c r="G6" s="68">
        <f>E6*F6</f>
        <v>516.16</v>
      </c>
    </row>
    <row r="7" spans="2:19" x14ac:dyDescent="0.3">
      <c r="B7" s="29" t="s">
        <v>46</v>
      </c>
      <c r="C7" s="29">
        <v>9</v>
      </c>
      <c r="D7" s="29">
        <v>2.1999999999999999E-2</v>
      </c>
      <c r="E7" s="33">
        <f t="shared" ref="E7:E12" si="0">C7*D7</f>
        <v>0.19799999999999998</v>
      </c>
      <c r="F7" s="29">
        <v>160</v>
      </c>
      <c r="G7" s="68">
        <f t="shared" ref="G7:G18" si="1">E7*F7</f>
        <v>31.679999999999996</v>
      </c>
    </row>
    <row r="8" spans="2:19" x14ac:dyDescent="0.3">
      <c r="B8" s="29" t="s">
        <v>18</v>
      </c>
      <c r="C8" s="29">
        <v>1</v>
      </c>
      <c r="D8" s="29">
        <v>0.37</v>
      </c>
      <c r="E8" s="33">
        <f t="shared" si="0"/>
        <v>0.37</v>
      </c>
      <c r="F8" s="29">
        <f>45</f>
        <v>45</v>
      </c>
      <c r="G8" s="68">
        <f t="shared" si="1"/>
        <v>16.649999999999999</v>
      </c>
    </row>
    <row r="9" spans="2:19" x14ac:dyDescent="0.3">
      <c r="B9" s="29" t="s">
        <v>52</v>
      </c>
      <c r="C9" s="29">
        <v>12</v>
      </c>
      <c r="D9" s="29">
        <v>1.0999999999999999E-2</v>
      </c>
      <c r="E9" s="33">
        <f t="shared" si="0"/>
        <v>0.13200000000000001</v>
      </c>
      <c r="F9" s="29">
        <v>160</v>
      </c>
      <c r="G9" s="68">
        <f t="shared" si="1"/>
        <v>21.12</v>
      </c>
    </row>
    <row r="10" spans="2:19" x14ac:dyDescent="0.3">
      <c r="B10" s="29" t="s">
        <v>53</v>
      </c>
      <c r="C10" s="29">
        <v>6</v>
      </c>
      <c r="D10" s="29">
        <v>1.0999999999999999E-2</v>
      </c>
      <c r="E10" s="33">
        <f t="shared" si="0"/>
        <v>6.6000000000000003E-2</v>
      </c>
      <c r="F10" s="29">
        <v>80</v>
      </c>
      <c r="G10" s="68">
        <f t="shared" si="1"/>
        <v>5.28</v>
      </c>
    </row>
    <row r="11" spans="2:19" x14ac:dyDescent="0.3">
      <c r="B11" s="32" t="s">
        <v>54</v>
      </c>
      <c r="C11" s="32">
        <v>6</v>
      </c>
      <c r="D11" s="29">
        <v>1.0999999999999999E-2</v>
      </c>
      <c r="E11" s="33">
        <f t="shared" si="0"/>
        <v>6.6000000000000003E-2</v>
      </c>
      <c r="F11" s="29">
        <v>80</v>
      </c>
      <c r="G11" s="68">
        <f t="shared" si="1"/>
        <v>5.28</v>
      </c>
      <c r="O11" s="28" t="s">
        <v>32</v>
      </c>
    </row>
    <row r="12" spans="2:19" x14ac:dyDescent="0.3">
      <c r="B12" s="32" t="s">
        <v>55</v>
      </c>
      <c r="C12" s="32">
        <v>15</v>
      </c>
      <c r="D12" s="29">
        <v>1.0999999999999999E-2</v>
      </c>
      <c r="E12" s="33">
        <f t="shared" si="0"/>
        <v>0.16499999999999998</v>
      </c>
      <c r="F12" s="29">
        <v>384</v>
      </c>
      <c r="G12" s="68">
        <f t="shared" si="1"/>
        <v>63.359999999999992</v>
      </c>
      <c r="I12" s="28" t="s">
        <v>218</v>
      </c>
      <c r="K12" s="28" t="s">
        <v>219</v>
      </c>
    </row>
    <row r="13" spans="2:19" x14ac:dyDescent="0.3">
      <c r="B13" s="32" t="s">
        <v>19</v>
      </c>
      <c r="C13" s="32">
        <v>1</v>
      </c>
      <c r="D13" s="32">
        <v>0.09</v>
      </c>
      <c r="E13" s="32">
        <f>D13*C13</f>
        <v>0.09</v>
      </c>
      <c r="F13" s="32">
        <f>24*30</f>
        <v>720</v>
      </c>
      <c r="G13" s="68">
        <f t="shared" si="1"/>
        <v>64.8</v>
      </c>
      <c r="I13" s="39">
        <f>G19+G39</f>
        <v>36513.226363636371</v>
      </c>
      <c r="K13" s="39">
        <f>I13-G33-G34</f>
        <v>17963.226363636371</v>
      </c>
      <c r="O13" s="28" t="s">
        <v>37</v>
      </c>
      <c r="P13" s="28">
        <v>11000</v>
      </c>
      <c r="Q13" s="28" t="s">
        <v>122</v>
      </c>
      <c r="S13" s="28">
        <f>31.1*P13</f>
        <v>342100</v>
      </c>
    </row>
    <row r="14" spans="2:19" x14ac:dyDescent="0.3">
      <c r="B14" s="32" t="s">
        <v>20</v>
      </c>
      <c r="C14" s="32">
        <v>1</v>
      </c>
      <c r="D14" s="32">
        <v>0.64</v>
      </c>
      <c r="E14" s="32">
        <f t="shared" ref="E14:E18" si="2">D14*C14</f>
        <v>0.64</v>
      </c>
      <c r="F14" s="32">
        <f>60</f>
        <v>60</v>
      </c>
      <c r="G14" s="68">
        <f t="shared" si="1"/>
        <v>38.4</v>
      </c>
      <c r="K14" s="20">
        <f>K13/I13</f>
        <v>0.49196491662336367</v>
      </c>
      <c r="O14" s="28" t="s">
        <v>40</v>
      </c>
      <c r="P14" s="28">
        <v>11000</v>
      </c>
      <c r="Q14" s="28" t="s">
        <v>122</v>
      </c>
      <c r="S14" s="28">
        <f>12*P14</f>
        <v>132000</v>
      </c>
    </row>
    <row r="15" spans="2:19" x14ac:dyDescent="0.3">
      <c r="B15" s="32" t="s">
        <v>48</v>
      </c>
      <c r="C15" s="32">
        <v>1</v>
      </c>
      <c r="D15" s="32">
        <v>2</v>
      </c>
      <c r="E15" s="32">
        <f t="shared" si="2"/>
        <v>2</v>
      </c>
      <c r="F15" s="32">
        <v>95</v>
      </c>
      <c r="G15" s="68">
        <f t="shared" si="1"/>
        <v>190</v>
      </c>
    </row>
    <row r="16" spans="2:19" x14ac:dyDescent="0.3">
      <c r="B16" s="32" t="s">
        <v>21</v>
      </c>
      <c r="C16" s="32">
        <v>1</v>
      </c>
      <c r="D16" s="32">
        <v>0.9</v>
      </c>
      <c r="E16" s="32">
        <f t="shared" si="2"/>
        <v>0.9</v>
      </c>
      <c r="F16" s="32">
        <v>40</v>
      </c>
      <c r="G16" s="68">
        <f t="shared" si="1"/>
        <v>36</v>
      </c>
      <c r="O16" s="28" t="s">
        <v>220</v>
      </c>
      <c r="Q16" s="28" t="s">
        <v>221</v>
      </c>
    </row>
    <row r="17" spans="2:17" x14ac:dyDescent="0.3">
      <c r="B17" s="32" t="s">
        <v>22</v>
      </c>
      <c r="C17" s="32">
        <v>1</v>
      </c>
      <c r="D17" s="32">
        <v>0.95</v>
      </c>
      <c r="E17" s="32">
        <f t="shared" si="2"/>
        <v>0.95</v>
      </c>
      <c r="F17" s="32">
        <v>50</v>
      </c>
      <c r="G17" s="68">
        <f t="shared" si="1"/>
        <v>47.5</v>
      </c>
      <c r="O17" s="28">
        <v>490700</v>
      </c>
      <c r="Q17" s="28">
        <f>O17-S13-S14</f>
        <v>16600</v>
      </c>
    </row>
    <row r="18" spans="2:17" ht="15" thickBot="1" x14ac:dyDescent="0.35">
      <c r="B18" s="32" t="s">
        <v>23</v>
      </c>
      <c r="C18" s="32">
        <v>1</v>
      </c>
      <c r="D18" s="32">
        <v>1.2</v>
      </c>
      <c r="E18" s="32">
        <f t="shared" si="2"/>
        <v>1.2</v>
      </c>
      <c r="F18" s="32">
        <v>30</v>
      </c>
      <c r="G18" s="68">
        <f t="shared" si="1"/>
        <v>36</v>
      </c>
      <c r="Q18" s="20">
        <f>(O17-Q17)/O17</f>
        <v>0.96617077644181781</v>
      </c>
    </row>
    <row r="19" spans="2:17" ht="15" thickBot="1" x14ac:dyDescent="0.35">
      <c r="F19" s="36" t="s">
        <v>121</v>
      </c>
      <c r="G19" s="67">
        <f>SUM(G6:G18)</f>
        <v>1072.2299999999998</v>
      </c>
      <c r="J19" s="4"/>
    </row>
    <row r="20" spans="2:17" hidden="1" x14ac:dyDescent="0.3">
      <c r="B20" s="34" t="s">
        <v>44</v>
      </c>
    </row>
    <row r="21" spans="2:17" hidden="1" x14ac:dyDescent="0.3">
      <c r="B21" s="34" t="s">
        <v>47</v>
      </c>
    </row>
    <row r="22" spans="2:17" hidden="1" x14ac:dyDescent="0.3">
      <c r="B22" s="34" t="s">
        <v>49</v>
      </c>
    </row>
    <row r="23" spans="2:17" hidden="1" x14ac:dyDescent="0.3">
      <c r="B23" s="34" t="s">
        <v>51</v>
      </c>
    </row>
    <row r="24" spans="2:17" hidden="1" x14ac:dyDescent="0.3">
      <c r="B24" s="34"/>
    </row>
    <row r="25" spans="2:17" x14ac:dyDescent="0.3">
      <c r="B25" s="34"/>
    </row>
    <row r="26" spans="2:17" x14ac:dyDescent="0.3">
      <c r="B26" s="32" t="s">
        <v>24</v>
      </c>
    </row>
    <row r="27" spans="2:17" x14ac:dyDescent="0.3">
      <c r="B27" s="35" t="s">
        <v>13</v>
      </c>
      <c r="C27" s="35" t="s">
        <v>14</v>
      </c>
      <c r="D27" s="35" t="s">
        <v>34</v>
      </c>
      <c r="E27" s="35" t="s">
        <v>35</v>
      </c>
      <c r="F27" s="35" t="s">
        <v>15</v>
      </c>
      <c r="G27" s="35" t="s">
        <v>16</v>
      </c>
    </row>
    <row r="28" spans="2:17" x14ac:dyDescent="0.3">
      <c r="B28" s="32" t="s">
        <v>9</v>
      </c>
      <c r="C28" s="32">
        <v>2</v>
      </c>
      <c r="D28" s="32">
        <v>9</v>
      </c>
      <c r="E28" s="32">
        <f t="shared" ref="E28:E34" si="3">D28*C28</f>
        <v>18</v>
      </c>
      <c r="F28" s="66">
        <v>349.09090909090907</v>
      </c>
      <c r="G28" s="23">
        <f>E28*F28</f>
        <v>6283.6363636363631</v>
      </c>
    </row>
    <row r="29" spans="2:17" x14ac:dyDescent="0.3">
      <c r="B29" s="32" t="s">
        <v>93</v>
      </c>
      <c r="C29" s="32">
        <v>1</v>
      </c>
      <c r="D29" s="32">
        <v>7</v>
      </c>
      <c r="E29" s="32">
        <v>7</v>
      </c>
      <c r="F29" s="32">
        <v>175</v>
      </c>
      <c r="G29" s="23">
        <f t="shared" ref="G29:G37" si="4">E29*F29</f>
        <v>1225</v>
      </c>
    </row>
    <row r="30" spans="2:17" x14ac:dyDescent="0.3">
      <c r="B30" s="32" t="s">
        <v>25</v>
      </c>
      <c r="C30" s="32">
        <v>1</v>
      </c>
      <c r="D30" s="32">
        <v>7</v>
      </c>
      <c r="E30" s="32">
        <f t="shared" si="3"/>
        <v>7</v>
      </c>
      <c r="F30" s="32">
        <v>175</v>
      </c>
      <c r="G30" s="23">
        <f t="shared" si="4"/>
        <v>1225</v>
      </c>
    </row>
    <row r="31" spans="2:17" x14ac:dyDescent="0.3">
      <c r="B31" s="32" t="s">
        <v>26</v>
      </c>
      <c r="C31" s="32">
        <v>1</v>
      </c>
      <c r="D31" s="32">
        <v>8.1999999999999993</v>
      </c>
      <c r="E31" s="32">
        <f t="shared" si="3"/>
        <v>8.1999999999999993</v>
      </c>
      <c r="F31" s="32">
        <v>175</v>
      </c>
      <c r="G31" s="23">
        <f t="shared" si="4"/>
        <v>1434.9999999999998</v>
      </c>
    </row>
    <row r="32" spans="2:17" x14ac:dyDescent="0.3">
      <c r="B32" s="32" t="s">
        <v>27</v>
      </c>
      <c r="C32" s="32">
        <v>1</v>
      </c>
      <c r="D32" s="32">
        <v>1.5</v>
      </c>
      <c r="E32" s="32">
        <f t="shared" si="3"/>
        <v>1.5</v>
      </c>
      <c r="F32" s="32">
        <v>160</v>
      </c>
      <c r="G32" s="23">
        <f t="shared" si="4"/>
        <v>240</v>
      </c>
    </row>
    <row r="33" spans="2:7" x14ac:dyDescent="0.3">
      <c r="B33" s="32" t="s">
        <v>28</v>
      </c>
      <c r="C33" s="32">
        <v>1</v>
      </c>
      <c r="D33" s="32">
        <v>28</v>
      </c>
      <c r="E33" s="32">
        <f t="shared" si="3"/>
        <v>28</v>
      </c>
      <c r="F33" s="32">
        <v>175</v>
      </c>
      <c r="G33" s="23">
        <f t="shared" si="4"/>
        <v>4900</v>
      </c>
    </row>
    <row r="34" spans="2:7" x14ac:dyDescent="0.3">
      <c r="B34" s="32" t="s">
        <v>29</v>
      </c>
      <c r="C34" s="32">
        <v>1</v>
      </c>
      <c r="D34" s="32">
        <v>78</v>
      </c>
      <c r="E34" s="32">
        <f t="shared" si="3"/>
        <v>78</v>
      </c>
      <c r="F34" s="32">
        <v>175</v>
      </c>
      <c r="G34" s="23">
        <f t="shared" si="4"/>
        <v>13650</v>
      </c>
    </row>
    <row r="35" spans="2:7" x14ac:dyDescent="0.3">
      <c r="B35" s="32" t="s">
        <v>30</v>
      </c>
      <c r="C35" s="32">
        <v>1</v>
      </c>
      <c r="D35" s="32">
        <v>7.5</v>
      </c>
      <c r="E35" s="32">
        <f>D35*C35</f>
        <v>7.5</v>
      </c>
      <c r="F35" s="32">
        <f>8*4</f>
        <v>32</v>
      </c>
      <c r="G35" s="23">
        <f t="shared" si="4"/>
        <v>240</v>
      </c>
    </row>
    <row r="36" spans="2:7" x14ac:dyDescent="0.3">
      <c r="B36" s="32" t="s">
        <v>31</v>
      </c>
      <c r="C36" s="32">
        <v>2</v>
      </c>
      <c r="D36" s="32">
        <v>0.5</v>
      </c>
      <c r="E36" s="32">
        <f t="shared" ref="E36:E38" si="5">D36*C36</f>
        <v>1</v>
      </c>
      <c r="F36" s="32">
        <f>F34/5</f>
        <v>35</v>
      </c>
      <c r="G36" s="23">
        <f t="shared" si="4"/>
        <v>35</v>
      </c>
    </row>
    <row r="37" spans="2:7" x14ac:dyDescent="0.3">
      <c r="B37" s="32" t="s">
        <v>50</v>
      </c>
      <c r="C37" s="32">
        <v>1</v>
      </c>
      <c r="D37" s="32">
        <v>16</v>
      </c>
      <c r="E37" s="32">
        <f t="shared" si="5"/>
        <v>16</v>
      </c>
      <c r="F37" s="32">
        <v>384</v>
      </c>
      <c r="G37" s="23">
        <f t="shared" si="4"/>
        <v>6144</v>
      </c>
    </row>
    <row r="38" spans="2:7" ht="15" thickBot="1" x14ac:dyDescent="0.35">
      <c r="B38" s="32" t="s">
        <v>120</v>
      </c>
      <c r="C38" s="32">
        <v>15</v>
      </c>
      <c r="D38" s="32">
        <v>1.0999999999999999E-2</v>
      </c>
      <c r="E38" s="32">
        <f t="shared" si="5"/>
        <v>0.16499999999999998</v>
      </c>
      <c r="F38" s="32">
        <v>384</v>
      </c>
      <c r="G38" s="23">
        <f t="shared" ref="G38" si="6">E38*F38</f>
        <v>63.359999999999992</v>
      </c>
    </row>
    <row r="39" spans="2:7" ht="15" thickBot="1" x14ac:dyDescent="0.35">
      <c r="C39" s="32"/>
      <c r="D39" s="32"/>
      <c r="E39" s="32"/>
      <c r="F39" s="37" t="s">
        <v>121</v>
      </c>
      <c r="G39" s="38">
        <f>SUM(G28:G38)</f>
        <v>35440.996363636368</v>
      </c>
    </row>
    <row r="41" spans="2:7" x14ac:dyDescent="0.3">
      <c r="B41" s="32" t="s">
        <v>43</v>
      </c>
    </row>
    <row r="42" spans="2:7" x14ac:dyDescent="0.3">
      <c r="B42" s="32" t="s">
        <v>9</v>
      </c>
      <c r="C42" s="28" t="s">
        <v>36</v>
      </c>
    </row>
    <row r="43" spans="2:7" x14ac:dyDescent="0.3">
      <c r="B43" s="32" t="s">
        <v>25</v>
      </c>
      <c r="C43" s="28" t="s">
        <v>42</v>
      </c>
    </row>
    <row r="44" spans="2:7" x14ac:dyDescent="0.3">
      <c r="B44" s="32" t="s">
        <v>26</v>
      </c>
      <c r="C44" s="28" t="s">
        <v>42</v>
      </c>
    </row>
    <row r="45" spans="2:7" x14ac:dyDescent="0.3">
      <c r="B45" s="32" t="s">
        <v>27</v>
      </c>
      <c r="C45" s="28" t="s">
        <v>36</v>
      </c>
    </row>
    <row r="46" spans="2:7" x14ac:dyDescent="0.3">
      <c r="B46" s="32" t="s">
        <v>28</v>
      </c>
      <c r="C46" s="28" t="s">
        <v>36</v>
      </c>
      <c r="E46" s="32" t="s">
        <v>38</v>
      </c>
      <c r="F46" s="28" t="s">
        <v>117</v>
      </c>
      <c r="G46" s="28">
        <f>0.16*0.44*404</f>
        <v>28.441600000000001</v>
      </c>
    </row>
    <row r="47" spans="2:7" x14ac:dyDescent="0.3">
      <c r="B47" s="32" t="s">
        <v>29</v>
      </c>
      <c r="C47" s="28" t="s">
        <v>36</v>
      </c>
      <c r="E47" s="32" t="s">
        <v>39</v>
      </c>
      <c r="F47" s="28" t="s">
        <v>118</v>
      </c>
      <c r="G47" s="28">
        <f>0.1*1785*0.44</f>
        <v>78.540000000000006</v>
      </c>
    </row>
    <row r="48" spans="2:7" x14ac:dyDescent="0.3">
      <c r="B48" s="32" t="s">
        <v>30</v>
      </c>
      <c r="C48" s="34" t="s">
        <v>41</v>
      </c>
    </row>
    <row r="49" spans="2:3" x14ac:dyDescent="0.3">
      <c r="B49" s="32" t="s">
        <v>31</v>
      </c>
      <c r="C49" s="28" t="s">
        <v>36</v>
      </c>
    </row>
  </sheetData>
  <hyperlinks>
    <hyperlink ref="C48" r:id="rId1" display="https://jasoindustrial.com/es-ar/gruas-industriales/birrail/" xr:uid="{B0C087CC-9F50-44AA-81EE-230142B7E9A0}"/>
    <hyperlink ref="B20" r:id="rId2" xr:uid="{8CB7F610-0003-4FB7-8015-804935A648B1}"/>
    <hyperlink ref="B21" r:id="rId3" xr:uid="{C6560A15-7170-48D5-BC87-01928864DA89}"/>
    <hyperlink ref="B22" r:id="rId4" xr:uid="{5D28722E-7689-4C50-BFFD-1C7CA2CDDC47}"/>
    <hyperlink ref="B23" r:id="rId5" xr:uid="{99AB1967-546D-48AF-A0C5-A3AAD569FCB3}"/>
  </hyperlinks>
  <pageMargins left="0.7" right="0.7" top="0.75" bottom="0.75" header="0.3" footer="0.3"/>
  <pageSetup orientation="portrait" r:id="rId6"/>
  <ignoredErrors>
    <ignoredError sqref="F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9EDE-EA2C-4A6F-A6E1-55B0F0CCCD88}">
  <dimension ref="A2:Q30"/>
  <sheetViews>
    <sheetView workbookViewId="0">
      <selection activeCell="F15" sqref="F15"/>
    </sheetView>
  </sheetViews>
  <sheetFormatPr defaultRowHeight="14.4" x14ac:dyDescent="0.3"/>
  <cols>
    <col min="1" max="1" width="14.44140625" bestFit="1" customWidth="1"/>
    <col min="2" max="2" width="27.44140625" customWidth="1"/>
    <col min="3" max="4" width="16.109375" customWidth="1"/>
    <col min="5" max="5" width="12.5546875" bestFit="1" customWidth="1"/>
    <col min="6" max="6" width="18.33203125" bestFit="1" customWidth="1"/>
    <col min="7" max="7" width="19" bestFit="1" customWidth="1"/>
    <col min="8" max="8" width="19" customWidth="1"/>
    <col min="10" max="10" width="10.33203125" bestFit="1" customWidth="1"/>
    <col min="11" max="11" width="11.33203125" bestFit="1" customWidth="1"/>
    <col min="15" max="15" width="10.33203125" bestFit="1" customWidth="1"/>
    <col min="16" max="17" width="9.33203125" bestFit="1" customWidth="1"/>
  </cols>
  <sheetData>
    <row r="2" spans="1:17" x14ac:dyDescent="0.3">
      <c r="K2" s="16">
        <f>K6/(1-M5)</f>
        <v>152908.88968652787</v>
      </c>
      <c r="L2" s="17" t="s">
        <v>67</v>
      </c>
      <c r="O2" t="s">
        <v>182</v>
      </c>
    </row>
    <row r="3" spans="1:17" x14ac:dyDescent="0.3">
      <c r="B3" t="s">
        <v>56</v>
      </c>
    </row>
    <row r="4" spans="1:17" x14ac:dyDescent="0.3">
      <c r="M4" t="s">
        <v>76</v>
      </c>
    </row>
    <row r="5" spans="1:17" x14ac:dyDescent="0.3">
      <c r="B5" s="2" t="s">
        <v>57</v>
      </c>
      <c r="C5" s="2" t="s">
        <v>78</v>
      </c>
      <c r="D5" s="2" t="s">
        <v>77</v>
      </c>
      <c r="E5" s="2" t="s">
        <v>68</v>
      </c>
      <c r="F5" s="2" t="s">
        <v>79</v>
      </c>
      <c r="G5" s="2" t="s">
        <v>181</v>
      </c>
      <c r="M5" s="15">
        <v>5.0000000000000001E-3</v>
      </c>
      <c r="O5" s="25">
        <f>K2-K6</f>
        <v>764.544448432629</v>
      </c>
    </row>
    <row r="6" spans="1:17" x14ac:dyDescent="0.3">
      <c r="A6">
        <v>1</v>
      </c>
      <c r="B6" s="3" t="s">
        <v>59</v>
      </c>
      <c r="C6" s="19">
        <f>K2</f>
        <v>152908.88968652787</v>
      </c>
      <c r="D6" s="19" t="s">
        <v>80</v>
      </c>
      <c r="E6" s="18" t="s">
        <v>81</v>
      </c>
      <c r="F6" s="19">
        <f>K6</f>
        <v>152144.34523809524</v>
      </c>
      <c r="G6" s="5">
        <f>F6/0.44</f>
        <v>345782.60281385283</v>
      </c>
      <c r="K6" s="5">
        <f>K10+B29</f>
        <v>152144.34523809524</v>
      </c>
    </row>
    <row r="7" spans="1:17" x14ac:dyDescent="0.3">
      <c r="B7" s="3" t="s">
        <v>93</v>
      </c>
      <c r="C7" s="19">
        <f>F6</f>
        <v>152144.34523809524</v>
      </c>
      <c r="D7" s="19" t="s">
        <v>80</v>
      </c>
      <c r="E7" s="18" t="s">
        <v>80</v>
      </c>
      <c r="F7" s="19">
        <f>F6</f>
        <v>152144.34523809524</v>
      </c>
      <c r="G7" s="5">
        <f t="shared" ref="G7:G11" si="0">F7/0.44</f>
        <v>345782.60281385283</v>
      </c>
      <c r="K7" s="5"/>
    </row>
    <row r="8" spans="1:17" x14ac:dyDescent="0.3">
      <c r="A8">
        <v>2</v>
      </c>
      <c r="B8" s="3" t="s">
        <v>60</v>
      </c>
      <c r="C8" s="19">
        <f>K6</f>
        <v>152144.34523809524</v>
      </c>
      <c r="D8" s="19" t="s">
        <v>211</v>
      </c>
      <c r="E8" s="18" t="s">
        <v>80</v>
      </c>
      <c r="F8" s="19">
        <f>K10</f>
        <v>146019.34523809524</v>
      </c>
      <c r="G8" s="5">
        <f t="shared" si="0"/>
        <v>331862.14826839825</v>
      </c>
    </row>
    <row r="9" spans="1:17" x14ac:dyDescent="0.3">
      <c r="A9">
        <v>3</v>
      </c>
      <c r="B9" s="3" t="s">
        <v>58</v>
      </c>
      <c r="C9" s="19">
        <f>K10</f>
        <v>146019.34523809524</v>
      </c>
      <c r="D9" s="19" t="s">
        <v>80</v>
      </c>
      <c r="E9" s="3" t="s">
        <v>106</v>
      </c>
      <c r="F9" s="19">
        <f>K14</f>
        <v>140178.57142857142</v>
      </c>
      <c r="G9" s="5">
        <f t="shared" si="0"/>
        <v>318587.6623376623</v>
      </c>
      <c r="J9" s="12" t="s">
        <v>189</v>
      </c>
    </row>
    <row r="10" spans="1:17" x14ac:dyDescent="0.3">
      <c r="B10" s="3" t="s">
        <v>95</v>
      </c>
      <c r="C10" s="19">
        <f>F9</f>
        <v>140178.57142857142</v>
      </c>
      <c r="D10" s="19" t="s">
        <v>80</v>
      </c>
      <c r="E10" s="3" t="s">
        <v>107</v>
      </c>
      <c r="F10" s="19">
        <f>K18</f>
        <v>137375</v>
      </c>
      <c r="G10" s="5">
        <f t="shared" si="0"/>
        <v>312215.90909090912</v>
      </c>
      <c r="J10" s="12"/>
      <c r="K10" s="5">
        <f>K14/(1-M13)</f>
        <v>146019.34523809524</v>
      </c>
      <c r="L10" t="s">
        <v>67</v>
      </c>
    </row>
    <row r="11" spans="1:17" x14ac:dyDescent="0.3">
      <c r="A11">
        <v>4</v>
      </c>
      <c r="B11" s="3" t="s">
        <v>61</v>
      </c>
      <c r="C11" s="19">
        <f>F10</f>
        <v>137375</v>
      </c>
      <c r="D11" s="19" t="s">
        <v>212</v>
      </c>
      <c r="E11" s="18" t="s">
        <v>80</v>
      </c>
      <c r="F11" s="19">
        <f>K22</f>
        <v>134750</v>
      </c>
      <c r="G11" s="5">
        <f t="shared" si="0"/>
        <v>306250</v>
      </c>
    </row>
    <row r="12" spans="1:17" x14ac:dyDescent="0.3">
      <c r="B12" s="3" t="s">
        <v>222</v>
      </c>
      <c r="C12" s="19">
        <f>0.75*F11</f>
        <v>101062.5</v>
      </c>
      <c r="D12" s="19" t="s">
        <v>80</v>
      </c>
      <c r="E12" s="18" t="s">
        <v>80</v>
      </c>
      <c r="F12" s="19">
        <f>C12</f>
        <v>101062.5</v>
      </c>
      <c r="G12" s="5">
        <f>G11*0.75</f>
        <v>229687.5</v>
      </c>
      <c r="K12" s="5"/>
      <c r="M12" t="s">
        <v>69</v>
      </c>
    </row>
    <row r="13" spans="1:17" x14ac:dyDescent="0.3">
      <c r="A13">
        <v>5</v>
      </c>
      <c r="B13" s="3" t="s">
        <v>62</v>
      </c>
      <c r="C13" s="19">
        <f>F11</f>
        <v>134750</v>
      </c>
      <c r="D13" s="19" t="s">
        <v>80</v>
      </c>
      <c r="E13" s="3" t="s">
        <v>80</v>
      </c>
      <c r="F13" s="19">
        <f>F11</f>
        <v>134750</v>
      </c>
      <c r="G13" s="5">
        <f>F13/0.44</f>
        <v>306250</v>
      </c>
      <c r="M13" s="8">
        <v>0.04</v>
      </c>
      <c r="O13" s="25">
        <f>K10-K14</f>
        <v>5840.7738095238165</v>
      </c>
      <c r="P13" s="25"/>
      <c r="Q13" s="25"/>
    </row>
    <row r="14" spans="1:17" x14ac:dyDescent="0.3">
      <c r="K14" s="5">
        <f>K18/(1-M17)</f>
        <v>140178.57142857142</v>
      </c>
      <c r="L14" t="s">
        <v>67</v>
      </c>
      <c r="O14" s="25"/>
      <c r="P14" s="25"/>
      <c r="Q14" s="25"/>
    </row>
    <row r="15" spans="1:17" x14ac:dyDescent="0.3">
      <c r="B15" s="3"/>
      <c r="C15" s="3"/>
      <c r="D15" s="3"/>
      <c r="E15" s="3"/>
      <c r="F15" s="42"/>
      <c r="O15" s="25"/>
      <c r="P15" s="25">
        <f>O13+O17</f>
        <v>8644.3452380952367</v>
      </c>
      <c r="Q15" s="25">
        <f>P15+O5</f>
        <v>9408.8896865278657</v>
      </c>
    </row>
    <row r="16" spans="1:17" x14ac:dyDescent="0.3">
      <c r="F16" s="5"/>
      <c r="M16" t="s">
        <v>105</v>
      </c>
      <c r="O16" s="25"/>
      <c r="P16" s="25"/>
      <c r="Q16" s="69">
        <f>Q15/C13</f>
        <v>6.9824784315605681E-2</v>
      </c>
    </row>
    <row r="17" spans="1:17" x14ac:dyDescent="0.3">
      <c r="M17" s="8">
        <v>0.02</v>
      </c>
      <c r="O17" s="25">
        <f>K14-K18</f>
        <v>2803.5714285714203</v>
      </c>
      <c r="P17" s="25"/>
      <c r="Q17" s="25"/>
    </row>
    <row r="18" spans="1:17" x14ac:dyDescent="0.3">
      <c r="A18" t="s">
        <v>63</v>
      </c>
      <c r="B18">
        <v>440</v>
      </c>
      <c r="C18" t="s">
        <v>64</v>
      </c>
      <c r="D18">
        <f>245000*2</f>
        <v>490000</v>
      </c>
      <c r="E18" t="s">
        <v>179</v>
      </c>
      <c r="K18" s="4">
        <f>K22+B30</f>
        <v>137375</v>
      </c>
      <c r="L18" t="s">
        <v>67</v>
      </c>
      <c r="O18" s="26"/>
    </row>
    <row r="19" spans="1:17" x14ac:dyDescent="0.3">
      <c r="A19" t="s">
        <v>180</v>
      </c>
      <c r="B19">
        <v>110</v>
      </c>
      <c r="C19" t="s">
        <v>64</v>
      </c>
      <c r="K19" s="4"/>
      <c r="O19" s="26"/>
    </row>
    <row r="20" spans="1:17" x14ac:dyDescent="0.3">
      <c r="A20" t="s">
        <v>65</v>
      </c>
      <c r="B20" s="4">
        <f>B18*245000+B19*245000</f>
        <v>134750000</v>
      </c>
      <c r="C20" t="s">
        <v>64</v>
      </c>
      <c r="E20" s="4"/>
      <c r="F20" s="4"/>
      <c r="J20" s="12" t="s">
        <v>188</v>
      </c>
      <c r="O20" s="22"/>
    </row>
    <row r="21" spans="1:17" x14ac:dyDescent="0.3">
      <c r="A21" t="s">
        <v>66</v>
      </c>
      <c r="B21" s="7">
        <f>B20/1000</f>
        <v>134750</v>
      </c>
      <c r="C21" s="6" t="s">
        <v>67</v>
      </c>
      <c r="D21" s="6"/>
      <c r="E21" s="7"/>
      <c r="F21" s="7"/>
    </row>
    <row r="22" spans="1:17" x14ac:dyDescent="0.3">
      <c r="K22" s="14">
        <f>K26</f>
        <v>134750</v>
      </c>
      <c r="L22" t="s">
        <v>67</v>
      </c>
    </row>
    <row r="24" spans="1:17" x14ac:dyDescent="0.3">
      <c r="A24" t="s">
        <v>70</v>
      </c>
      <c r="B24">
        <v>7</v>
      </c>
    </row>
    <row r="25" spans="1:17" x14ac:dyDescent="0.3">
      <c r="A25" t="s">
        <v>71</v>
      </c>
      <c r="B25">
        <v>125</v>
      </c>
      <c r="C25" t="s">
        <v>64</v>
      </c>
    </row>
    <row r="26" spans="1:17" x14ac:dyDescent="0.3">
      <c r="A26" t="s">
        <v>72</v>
      </c>
      <c r="B26" s="11">
        <f>D18/B24</f>
        <v>70000</v>
      </c>
      <c r="E26" s="11"/>
      <c r="F26" s="11"/>
      <c r="K26" s="13">
        <f>B21</f>
        <v>134750</v>
      </c>
      <c r="L26" s="6" t="s">
        <v>67</v>
      </c>
    </row>
    <row r="27" spans="1:17" x14ac:dyDescent="0.3">
      <c r="A27" t="s">
        <v>73</v>
      </c>
      <c r="B27">
        <f>(B26*B25)/1000</f>
        <v>8750</v>
      </c>
      <c r="C27" t="s">
        <v>67</v>
      </c>
    </row>
    <row r="29" spans="1:17" x14ac:dyDescent="0.3">
      <c r="A29" t="s">
        <v>74</v>
      </c>
      <c r="B29">
        <f>B27*0.7</f>
        <v>6125</v>
      </c>
    </row>
    <row r="30" spans="1:17" x14ac:dyDescent="0.3">
      <c r="A30" t="s">
        <v>75</v>
      </c>
      <c r="B30" s="11">
        <f>B27*0.3</f>
        <v>2625</v>
      </c>
    </row>
  </sheetData>
  <pageMargins left="0.7" right="0.7" top="0.75" bottom="0.75" header="0.3" footer="0.3"/>
  <pageSetup orientation="portrait" r:id="rId1"/>
  <ignoredErrors>
    <ignoredError sqref="G1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E175-2352-4489-B14F-034FD7C8F3E2}">
  <dimension ref="B2:I24"/>
  <sheetViews>
    <sheetView workbookViewId="0">
      <selection activeCell="E17" sqref="E17"/>
    </sheetView>
  </sheetViews>
  <sheetFormatPr defaultRowHeight="14.4" x14ac:dyDescent="0.3"/>
  <cols>
    <col min="2" max="2" width="17.88671875" customWidth="1"/>
    <col min="3" max="3" width="11.88671875" bestFit="1" customWidth="1"/>
    <col min="4" max="4" width="11" bestFit="1" customWidth="1"/>
    <col min="7" max="7" width="15.88671875" bestFit="1" customWidth="1"/>
  </cols>
  <sheetData>
    <row r="2" spans="2:9" x14ac:dyDescent="0.3">
      <c r="B2" t="s">
        <v>82</v>
      </c>
      <c r="D2">
        <v>52</v>
      </c>
      <c r="E2">
        <v>2</v>
      </c>
      <c r="F2">
        <v>2</v>
      </c>
    </row>
    <row r="3" spans="2:9" x14ac:dyDescent="0.3">
      <c r="D3" t="s">
        <v>183</v>
      </c>
    </row>
    <row r="5" spans="2:9" x14ac:dyDescent="0.3">
      <c r="B5" s="2" t="s">
        <v>83</v>
      </c>
      <c r="C5" s="2" t="s">
        <v>87</v>
      </c>
      <c r="D5" s="2" t="s">
        <v>88</v>
      </c>
      <c r="E5" s="2" t="s">
        <v>85</v>
      </c>
      <c r="F5" s="2" t="s">
        <v>84</v>
      </c>
      <c r="G5" s="2" t="s">
        <v>89</v>
      </c>
      <c r="I5" s="2" t="s">
        <v>119</v>
      </c>
    </row>
    <row r="6" spans="2:9" x14ac:dyDescent="0.3">
      <c r="B6" s="3" t="s">
        <v>59</v>
      </c>
      <c r="C6" s="24">
        <v>2</v>
      </c>
      <c r="D6" s="24">
        <v>8</v>
      </c>
      <c r="E6" s="24">
        <f>D6*C6</f>
        <v>16</v>
      </c>
      <c r="F6" s="24">
        <f>5*48</f>
        <v>240</v>
      </c>
      <c r="G6" s="24">
        <f>F6*E6</f>
        <v>3840</v>
      </c>
      <c r="I6" s="25">
        <f>G6/11</f>
        <v>349.09090909090907</v>
      </c>
    </row>
    <row r="7" spans="2:9" x14ac:dyDescent="0.3">
      <c r="B7" s="3" t="s">
        <v>93</v>
      </c>
      <c r="C7" s="24">
        <v>1</v>
      </c>
      <c r="D7" s="24">
        <v>8</v>
      </c>
      <c r="E7" s="24">
        <f t="shared" ref="E7:E13" si="0">D7*C7</f>
        <v>8</v>
      </c>
      <c r="F7" s="24">
        <f t="shared" ref="F7:F13" si="1">5*48</f>
        <v>240</v>
      </c>
      <c r="G7" s="24">
        <f t="shared" ref="G7:G13" si="2">F7*E7</f>
        <v>1920</v>
      </c>
      <c r="I7" s="25">
        <f t="shared" ref="I7:I13" si="3">G7/11</f>
        <v>174.54545454545453</v>
      </c>
    </row>
    <row r="8" spans="2:9" x14ac:dyDescent="0.3">
      <c r="B8" s="3" t="s">
        <v>60</v>
      </c>
      <c r="C8" s="24">
        <v>1</v>
      </c>
      <c r="D8" s="24">
        <v>8</v>
      </c>
      <c r="E8" s="24">
        <f t="shared" si="0"/>
        <v>8</v>
      </c>
      <c r="F8" s="24">
        <f t="shared" si="1"/>
        <v>240</v>
      </c>
      <c r="G8" s="24">
        <f t="shared" si="2"/>
        <v>1920</v>
      </c>
      <c r="I8" s="25">
        <f t="shared" si="3"/>
        <v>174.54545454545453</v>
      </c>
    </row>
    <row r="9" spans="2:9" x14ac:dyDescent="0.3">
      <c r="B9" s="3" t="s">
        <v>58</v>
      </c>
      <c r="C9" s="24">
        <v>1</v>
      </c>
      <c r="D9" s="24">
        <v>8</v>
      </c>
      <c r="E9" s="24">
        <f t="shared" si="0"/>
        <v>8</v>
      </c>
      <c r="F9" s="24">
        <f t="shared" si="1"/>
        <v>240</v>
      </c>
      <c r="G9" s="24">
        <f t="shared" si="2"/>
        <v>1920</v>
      </c>
      <c r="I9" s="25">
        <f t="shared" si="3"/>
        <v>174.54545454545453</v>
      </c>
    </row>
    <row r="10" spans="2:9" x14ac:dyDescent="0.3">
      <c r="B10" s="3" t="s">
        <v>95</v>
      </c>
      <c r="C10" s="24">
        <v>1</v>
      </c>
      <c r="D10" s="24">
        <v>8</v>
      </c>
      <c r="E10" s="24">
        <f t="shared" si="0"/>
        <v>8</v>
      </c>
      <c r="F10" s="24">
        <f t="shared" si="1"/>
        <v>240</v>
      </c>
      <c r="G10" s="24">
        <f t="shared" si="2"/>
        <v>1920</v>
      </c>
      <c r="I10" s="25">
        <f t="shared" si="3"/>
        <v>174.54545454545453</v>
      </c>
    </row>
    <row r="11" spans="2:9" x14ac:dyDescent="0.3">
      <c r="B11" s="3" t="s">
        <v>86</v>
      </c>
      <c r="C11" s="24">
        <v>1</v>
      </c>
      <c r="D11" s="24">
        <v>8</v>
      </c>
      <c r="E11" s="24">
        <f t="shared" si="0"/>
        <v>8</v>
      </c>
      <c r="F11" s="24">
        <f t="shared" si="1"/>
        <v>240</v>
      </c>
      <c r="G11" s="24">
        <f t="shared" si="2"/>
        <v>1920</v>
      </c>
      <c r="I11" s="25">
        <f t="shared" si="3"/>
        <v>174.54545454545453</v>
      </c>
    </row>
    <row r="12" spans="2:9" x14ac:dyDescent="0.3">
      <c r="B12" s="3" t="s">
        <v>124</v>
      </c>
      <c r="C12" s="24">
        <v>1</v>
      </c>
      <c r="D12" s="24">
        <v>8</v>
      </c>
      <c r="E12" s="24">
        <f t="shared" si="0"/>
        <v>8</v>
      </c>
      <c r="F12" s="24">
        <f t="shared" si="1"/>
        <v>240</v>
      </c>
      <c r="G12" s="24">
        <f t="shared" si="2"/>
        <v>1920</v>
      </c>
      <c r="I12" s="25">
        <f t="shared" si="3"/>
        <v>174.54545454545453</v>
      </c>
    </row>
    <row r="13" spans="2:9" x14ac:dyDescent="0.3">
      <c r="B13" s="3" t="s">
        <v>62</v>
      </c>
      <c r="C13" s="24">
        <v>2</v>
      </c>
      <c r="D13" s="24">
        <v>8</v>
      </c>
      <c r="E13" s="24">
        <f t="shared" si="0"/>
        <v>16</v>
      </c>
      <c r="F13" s="24">
        <f t="shared" si="1"/>
        <v>240</v>
      </c>
      <c r="G13" s="24">
        <f t="shared" si="2"/>
        <v>3840</v>
      </c>
      <c r="I13" s="25">
        <f t="shared" si="3"/>
        <v>349.09090909090907</v>
      </c>
    </row>
    <row r="16" spans="2:9" x14ac:dyDescent="0.3">
      <c r="B16" s="2" t="s">
        <v>83</v>
      </c>
      <c r="C16" s="2" t="s">
        <v>90</v>
      </c>
      <c r="D16" s="2" t="s">
        <v>91</v>
      </c>
      <c r="E16" s="2" t="s">
        <v>92</v>
      </c>
    </row>
    <row r="17" spans="2:7" x14ac:dyDescent="0.3">
      <c r="B17" s="3" t="s">
        <v>59</v>
      </c>
      <c r="C17" s="14">
        <v>3840</v>
      </c>
      <c r="D17">
        <v>4</v>
      </c>
      <c r="E17" s="25">
        <f>C17/2</f>
        <v>1920</v>
      </c>
      <c r="G17" t="s">
        <v>184</v>
      </c>
    </row>
    <row r="18" spans="2:7" x14ac:dyDescent="0.3">
      <c r="B18" s="3" t="s">
        <v>93</v>
      </c>
      <c r="C18" s="14">
        <v>1920</v>
      </c>
      <c r="D18">
        <v>2</v>
      </c>
      <c r="E18" s="25">
        <f>C18</f>
        <v>1920</v>
      </c>
      <c r="G18" t="s">
        <v>185</v>
      </c>
    </row>
    <row r="19" spans="2:7" x14ac:dyDescent="0.3">
      <c r="B19" s="3" t="s">
        <v>60</v>
      </c>
      <c r="C19" s="14">
        <v>1920</v>
      </c>
      <c r="D19">
        <v>1</v>
      </c>
      <c r="E19" s="25">
        <f t="shared" ref="E19" si="4">C19/D19</f>
        <v>1920</v>
      </c>
      <c r="G19" t="s">
        <v>185</v>
      </c>
    </row>
    <row r="20" spans="2:7" x14ac:dyDescent="0.3">
      <c r="B20" s="3" t="s">
        <v>58</v>
      </c>
      <c r="C20" s="14">
        <v>1920</v>
      </c>
      <c r="D20">
        <v>2</v>
      </c>
      <c r="E20" s="25">
        <f>C20</f>
        <v>1920</v>
      </c>
      <c r="G20" t="s">
        <v>185</v>
      </c>
    </row>
    <row r="21" spans="2:7" x14ac:dyDescent="0.3">
      <c r="B21" s="3" t="s">
        <v>95</v>
      </c>
      <c r="C21" s="14">
        <v>1920</v>
      </c>
      <c r="D21">
        <v>3</v>
      </c>
      <c r="E21" s="25">
        <f>C21</f>
        <v>1920</v>
      </c>
      <c r="G21" t="s">
        <v>185</v>
      </c>
    </row>
    <row r="22" spans="2:7" x14ac:dyDescent="0.3">
      <c r="B22" s="3" t="s">
        <v>86</v>
      </c>
      <c r="C22" s="14">
        <v>1920</v>
      </c>
      <c r="D22">
        <v>2</v>
      </c>
      <c r="E22" s="25">
        <f>C22</f>
        <v>1920</v>
      </c>
      <c r="G22" t="s">
        <v>185</v>
      </c>
    </row>
    <row r="23" spans="2:7" x14ac:dyDescent="0.3">
      <c r="B23" s="3" t="s">
        <v>124</v>
      </c>
      <c r="C23" s="14">
        <v>1920</v>
      </c>
      <c r="D23">
        <v>2</v>
      </c>
      <c r="E23" s="25">
        <f>C23</f>
        <v>1920</v>
      </c>
      <c r="G23" t="s">
        <v>185</v>
      </c>
    </row>
    <row r="24" spans="2:7" x14ac:dyDescent="0.3">
      <c r="B24" s="3" t="s">
        <v>62</v>
      </c>
      <c r="C24" s="14">
        <v>3840</v>
      </c>
      <c r="D24">
        <v>8</v>
      </c>
      <c r="E24" s="25">
        <f>C24/2</f>
        <v>1920</v>
      </c>
      <c r="G24" s="6" t="s">
        <v>198</v>
      </c>
    </row>
  </sheetData>
  <pageMargins left="0.7" right="0.7" top="0.75" bottom="0.75" header="0.3" footer="0.3"/>
  <ignoredErrors>
    <ignoredError sqref="F6:F13 E1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A0C39-07A9-4448-AF46-0CE1209BC373}">
  <dimension ref="B2:L26"/>
  <sheetViews>
    <sheetView workbookViewId="0">
      <selection activeCell="A17" sqref="A17"/>
    </sheetView>
  </sheetViews>
  <sheetFormatPr defaultRowHeight="14.4" x14ac:dyDescent="0.3"/>
  <cols>
    <col min="2" max="2" width="17.44140625" bestFit="1" customWidth="1"/>
    <col min="3" max="3" width="13.21875" bestFit="1" customWidth="1"/>
    <col min="4" max="4" width="16.77734375" bestFit="1" customWidth="1"/>
    <col min="5" max="5" width="14.44140625" bestFit="1" customWidth="1"/>
    <col min="6" max="6" width="14.6640625" bestFit="1" customWidth="1"/>
    <col min="7" max="7" width="12" bestFit="1" customWidth="1"/>
  </cols>
  <sheetData>
    <row r="2" spans="2:7" x14ac:dyDescent="0.3">
      <c r="B2" t="s">
        <v>111</v>
      </c>
    </row>
    <row r="4" spans="2:7" x14ac:dyDescent="0.3">
      <c r="B4" s="71" t="s">
        <v>83</v>
      </c>
      <c r="C4" s="70" t="s">
        <v>99</v>
      </c>
      <c r="D4" s="70" t="s">
        <v>100</v>
      </c>
      <c r="E4" s="70" t="s">
        <v>101</v>
      </c>
      <c r="F4" s="72" t="s">
        <v>102</v>
      </c>
      <c r="G4" s="70" t="s">
        <v>103</v>
      </c>
    </row>
    <row r="5" spans="2:7" x14ac:dyDescent="0.3">
      <c r="B5" s="71"/>
      <c r="C5" s="70"/>
      <c r="D5" s="70"/>
      <c r="E5" s="70"/>
      <c r="F5" s="72"/>
      <c r="G5" s="70"/>
    </row>
    <row r="6" spans="2:7" x14ac:dyDescent="0.3">
      <c r="B6" s="3" t="s">
        <v>59</v>
      </c>
      <c r="C6" s="9">
        <f>60*4/6.5</f>
        <v>36.92307692307692</v>
      </c>
      <c r="D6" s="14">
        <v>3840</v>
      </c>
      <c r="E6" s="25">
        <f>D6*C6</f>
        <v>141784.61538461538</v>
      </c>
      <c r="F6" s="20">
        <v>0.95</v>
      </c>
      <c r="G6" s="25">
        <f>E6*F6</f>
        <v>134695.3846153846</v>
      </c>
    </row>
    <row r="7" spans="2:7" x14ac:dyDescent="0.3">
      <c r="B7" s="3" t="s">
        <v>93</v>
      </c>
      <c r="C7" s="10">
        <f>3600/11</f>
        <v>327.27272727272725</v>
      </c>
      <c r="D7" s="14">
        <v>1920</v>
      </c>
      <c r="E7" s="25">
        <f>D7*C7</f>
        <v>628363.63636363635</v>
      </c>
      <c r="F7" s="20">
        <v>0.8</v>
      </c>
      <c r="G7" s="25">
        <f t="shared" ref="G7:G12" si="0">E7*F7</f>
        <v>502690.90909090912</v>
      </c>
    </row>
    <row r="8" spans="2:7" x14ac:dyDescent="0.3">
      <c r="B8" s="3" t="s">
        <v>60</v>
      </c>
      <c r="C8" s="10">
        <f>3600/11</f>
        <v>327.27272727272725</v>
      </c>
      <c r="D8" s="14">
        <v>1920</v>
      </c>
      <c r="E8" s="25">
        <f t="shared" ref="E8:E12" si="1">D8*C8</f>
        <v>628363.63636363635</v>
      </c>
      <c r="F8" s="20">
        <v>0.8</v>
      </c>
      <c r="G8" s="25">
        <f t="shared" si="0"/>
        <v>502690.90909090912</v>
      </c>
    </row>
    <row r="9" spans="2:7" x14ac:dyDescent="0.3">
      <c r="B9" s="3" t="s">
        <v>58</v>
      </c>
      <c r="C9">
        <v>404</v>
      </c>
      <c r="D9" s="14">
        <v>1920</v>
      </c>
      <c r="E9" s="25">
        <f t="shared" si="1"/>
        <v>775680</v>
      </c>
      <c r="F9" s="20">
        <v>0.85</v>
      </c>
      <c r="G9" s="25">
        <f t="shared" si="0"/>
        <v>659328</v>
      </c>
    </row>
    <row r="10" spans="2:7" x14ac:dyDescent="0.3">
      <c r="B10" s="3" t="s">
        <v>95</v>
      </c>
      <c r="C10">
        <v>1785.7</v>
      </c>
      <c r="D10" s="14">
        <v>1920</v>
      </c>
      <c r="E10" s="25">
        <f t="shared" si="1"/>
        <v>3428544</v>
      </c>
      <c r="F10" s="20">
        <v>0.8</v>
      </c>
      <c r="G10" s="25">
        <f t="shared" si="0"/>
        <v>2742835.2000000002</v>
      </c>
    </row>
    <row r="11" spans="2:7" x14ac:dyDescent="0.3">
      <c r="B11" s="3" t="s">
        <v>124</v>
      </c>
      <c r="C11">
        <f>60*15/3</f>
        <v>300</v>
      </c>
      <c r="D11" s="14">
        <v>1920</v>
      </c>
      <c r="E11" s="25">
        <f>D11*C11</f>
        <v>576000</v>
      </c>
      <c r="F11" s="20">
        <v>0.85</v>
      </c>
      <c r="G11" s="25">
        <f t="shared" si="0"/>
        <v>489600</v>
      </c>
    </row>
    <row r="12" spans="2:7" x14ac:dyDescent="0.3">
      <c r="B12" s="3" t="s">
        <v>86</v>
      </c>
      <c r="C12" s="11">
        <f>3600*3/60</f>
        <v>180</v>
      </c>
      <c r="D12" s="14">
        <v>1920</v>
      </c>
      <c r="E12" s="25">
        <f t="shared" si="1"/>
        <v>345600</v>
      </c>
      <c r="F12" s="20">
        <v>0.8</v>
      </c>
      <c r="G12" s="25">
        <f t="shared" si="0"/>
        <v>276480</v>
      </c>
    </row>
    <row r="13" spans="2:7" x14ac:dyDescent="0.3">
      <c r="B13" s="3" t="s">
        <v>62</v>
      </c>
      <c r="C13">
        <v>30</v>
      </c>
      <c r="D13" s="14">
        <v>3840</v>
      </c>
      <c r="E13" s="25">
        <v>126720</v>
      </c>
      <c r="F13" s="20">
        <v>0.7</v>
      </c>
      <c r="G13" s="25">
        <f>E13*F13</f>
        <v>88704</v>
      </c>
    </row>
    <row r="17" spans="2:12" x14ac:dyDescent="0.3">
      <c r="B17" s="3" t="s">
        <v>59</v>
      </c>
      <c r="C17" t="s">
        <v>94</v>
      </c>
    </row>
    <row r="18" spans="2:12" x14ac:dyDescent="0.3">
      <c r="B18" s="3" t="s">
        <v>93</v>
      </c>
      <c r="C18" t="s">
        <v>190</v>
      </c>
      <c r="D18" t="s">
        <v>192</v>
      </c>
      <c r="E18" t="s">
        <v>193</v>
      </c>
    </row>
    <row r="19" spans="2:12" x14ac:dyDescent="0.3">
      <c r="B19" s="3" t="s">
        <v>60</v>
      </c>
      <c r="C19" t="s">
        <v>190</v>
      </c>
      <c r="D19" t="s">
        <v>192</v>
      </c>
      <c r="E19" t="s">
        <v>193</v>
      </c>
    </row>
    <row r="20" spans="2:12" x14ac:dyDescent="0.3">
      <c r="B20" s="3" t="s">
        <v>58</v>
      </c>
      <c r="C20" t="s">
        <v>96</v>
      </c>
      <c r="D20" t="s">
        <v>186</v>
      </c>
      <c r="E20">
        <f>440/1000</f>
        <v>0.44</v>
      </c>
      <c r="F20" t="s">
        <v>67</v>
      </c>
      <c r="G20">
        <f>1200/E20</f>
        <v>2727.2727272727275</v>
      </c>
      <c r="H20">
        <f>G20/6.75</f>
        <v>404.0404040404041</v>
      </c>
    </row>
    <row r="21" spans="2:12" x14ac:dyDescent="0.3">
      <c r="B21" s="3" t="s">
        <v>95</v>
      </c>
      <c r="C21" t="s">
        <v>97</v>
      </c>
      <c r="D21" t="s">
        <v>187</v>
      </c>
      <c r="E21">
        <f>2500/1.4</f>
        <v>1785.7142857142858</v>
      </c>
      <c r="F21" t="s">
        <v>216</v>
      </c>
    </row>
    <row r="22" spans="2:12" x14ac:dyDescent="0.3">
      <c r="B22" s="3" t="s">
        <v>86</v>
      </c>
      <c r="C22" t="s">
        <v>98</v>
      </c>
      <c r="D22" t="s">
        <v>191</v>
      </c>
    </row>
    <row r="23" spans="2:12" x14ac:dyDescent="0.3">
      <c r="B23" s="3" t="s">
        <v>124</v>
      </c>
      <c r="C23" t="s">
        <v>125</v>
      </c>
      <c r="F23" t="s">
        <v>126</v>
      </c>
      <c r="L23" t="s">
        <v>127</v>
      </c>
    </row>
    <row r="25" spans="2:12" x14ac:dyDescent="0.3">
      <c r="B25" s="3" t="s">
        <v>62</v>
      </c>
      <c r="C25" t="s">
        <v>113</v>
      </c>
      <c r="D25" t="s">
        <v>114</v>
      </c>
    </row>
    <row r="26" spans="2:12" x14ac:dyDescent="0.3">
      <c r="C26" t="s">
        <v>115</v>
      </c>
      <c r="D26">
        <v>30</v>
      </c>
    </row>
  </sheetData>
  <mergeCells count="6">
    <mergeCell ref="G4:G5"/>
    <mergeCell ref="C4:C5"/>
    <mergeCell ref="B4:B5"/>
    <mergeCell ref="D4:D5"/>
    <mergeCell ref="E4:E5"/>
    <mergeCell ref="F4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DA5C6-756C-4C7A-9AEA-DCA27436655A}">
  <dimension ref="B2:N13"/>
  <sheetViews>
    <sheetView workbookViewId="0">
      <selection activeCell="F20" sqref="F20"/>
    </sheetView>
  </sheetViews>
  <sheetFormatPr defaultRowHeight="14.4" x14ac:dyDescent="0.3"/>
  <cols>
    <col min="2" max="2" width="17.44140625" bestFit="1" customWidth="1"/>
    <col min="3" max="3" width="26" customWidth="1"/>
    <col min="4" max="4" width="15" customWidth="1"/>
    <col min="5" max="5" width="11.6640625" customWidth="1"/>
    <col min="6" max="6" width="15.109375" customWidth="1"/>
    <col min="7" max="7" width="17.6640625" customWidth="1"/>
    <col min="11" max="11" width="10.33203125" bestFit="1" customWidth="1"/>
  </cols>
  <sheetData>
    <row r="2" spans="2:14" x14ac:dyDescent="0.3">
      <c r="B2" t="s">
        <v>112</v>
      </c>
    </row>
    <row r="4" spans="2:14" x14ac:dyDescent="0.3">
      <c r="B4" s="71" t="s">
        <v>83</v>
      </c>
      <c r="C4" s="72" t="s">
        <v>116</v>
      </c>
      <c r="D4" s="72" t="s">
        <v>104</v>
      </c>
      <c r="E4" s="72" t="s">
        <v>108</v>
      </c>
      <c r="F4" s="72" t="s">
        <v>109</v>
      </c>
      <c r="G4" s="72" t="s">
        <v>110</v>
      </c>
    </row>
    <row r="5" spans="2:14" x14ac:dyDescent="0.3">
      <c r="B5" s="71"/>
      <c r="C5" s="72"/>
      <c r="D5" s="72"/>
      <c r="E5" s="72"/>
      <c r="F5" s="72"/>
      <c r="G5" s="72"/>
      <c r="K5" s="4"/>
    </row>
    <row r="6" spans="2:14" x14ac:dyDescent="0.3">
      <c r="B6" s="3" t="s">
        <v>59</v>
      </c>
      <c r="C6" s="19">
        <v>345782.60281385283</v>
      </c>
      <c r="D6" s="4">
        <v>134695.3846153846</v>
      </c>
      <c r="E6" s="27">
        <v>3</v>
      </c>
      <c r="F6" s="5">
        <f>D6*E6</f>
        <v>404086.15384615376</v>
      </c>
      <c r="G6" s="21">
        <f>C6/F6</f>
        <v>0.85571504869108028</v>
      </c>
    </row>
    <row r="7" spans="2:14" x14ac:dyDescent="0.3">
      <c r="B7" s="3" t="s">
        <v>93</v>
      </c>
      <c r="C7" s="19">
        <v>345782.60281385283</v>
      </c>
      <c r="D7" s="4">
        <v>502690.90909090912</v>
      </c>
      <c r="E7" s="27">
        <v>1</v>
      </c>
      <c r="F7" s="5">
        <f t="shared" ref="F7:F11" si="0">D7</f>
        <v>502690.90909090912</v>
      </c>
      <c r="G7" s="21">
        <f t="shared" ref="G7:G12" si="1">C7/F7</f>
        <v>0.68786325067859899</v>
      </c>
    </row>
    <row r="8" spans="2:14" x14ac:dyDescent="0.3">
      <c r="B8" s="3" t="s">
        <v>60</v>
      </c>
      <c r="C8" s="19">
        <v>331862.14826839825</v>
      </c>
      <c r="D8" s="4">
        <v>502690.90909090912</v>
      </c>
      <c r="E8" s="27">
        <v>1</v>
      </c>
      <c r="F8" s="5">
        <f t="shared" si="0"/>
        <v>502690.90909090912</v>
      </c>
      <c r="G8" s="21">
        <f>C8/F8</f>
        <v>0.66017137423183969</v>
      </c>
    </row>
    <row r="9" spans="2:14" x14ac:dyDescent="0.3">
      <c r="B9" s="3" t="s">
        <v>58</v>
      </c>
      <c r="C9" s="19">
        <v>318587.6623376623</v>
      </c>
      <c r="D9" s="4">
        <v>659328</v>
      </c>
      <c r="E9" s="27">
        <v>1</v>
      </c>
      <c r="F9" s="5">
        <f t="shared" si="0"/>
        <v>659328</v>
      </c>
      <c r="G9" s="21">
        <f t="shared" si="1"/>
        <v>0.48320056532964217</v>
      </c>
      <c r="H9" s="6" t="s">
        <v>213</v>
      </c>
      <c r="N9" s="12"/>
    </row>
    <row r="10" spans="2:14" x14ac:dyDescent="0.3">
      <c r="B10" s="3" t="s">
        <v>95</v>
      </c>
      <c r="C10" s="19">
        <v>312215.90909090912</v>
      </c>
      <c r="D10" s="4">
        <v>2742835.2000000002</v>
      </c>
      <c r="E10" s="27">
        <v>1</v>
      </c>
      <c r="F10" s="5">
        <f t="shared" si="0"/>
        <v>2742835.2000000002</v>
      </c>
      <c r="G10" s="21">
        <f t="shared" si="1"/>
        <v>0.11382962749308055</v>
      </c>
      <c r="H10" s="6" t="s">
        <v>213</v>
      </c>
    </row>
    <row r="11" spans="2:14" x14ac:dyDescent="0.3">
      <c r="B11" s="3" t="s">
        <v>86</v>
      </c>
      <c r="C11" s="19">
        <v>306250</v>
      </c>
      <c r="D11" s="4">
        <v>489600</v>
      </c>
      <c r="E11" s="27">
        <v>1</v>
      </c>
      <c r="F11" s="5">
        <f t="shared" si="0"/>
        <v>489600</v>
      </c>
      <c r="G11" s="21">
        <f t="shared" si="1"/>
        <v>0.62551062091503273</v>
      </c>
    </row>
    <row r="12" spans="2:14" s="60" customFormat="1" x14ac:dyDescent="0.3">
      <c r="B12" s="3" t="s">
        <v>123</v>
      </c>
      <c r="C12" s="19">
        <f>0.75*C13</f>
        <v>229687.5</v>
      </c>
      <c r="D12" s="4">
        <v>276480</v>
      </c>
      <c r="E12" s="27">
        <v>1</v>
      </c>
      <c r="F12" s="5">
        <f>D12*E12</f>
        <v>276480</v>
      </c>
      <c r="G12" s="21">
        <f>C12/F12</f>
        <v>0.83075629340277779</v>
      </c>
    </row>
    <row r="13" spans="2:14" x14ac:dyDescent="0.3">
      <c r="B13" s="55" t="s">
        <v>62</v>
      </c>
      <c r="C13" s="61">
        <v>306250</v>
      </c>
      <c r="D13" s="56">
        <v>88704</v>
      </c>
      <c r="E13" s="57">
        <v>4</v>
      </c>
      <c r="F13" s="58">
        <f>D13*E13</f>
        <v>354816</v>
      </c>
      <c r="G13" s="59">
        <f>C13/F13</f>
        <v>0.86312342171717171</v>
      </c>
    </row>
  </sheetData>
  <mergeCells count="6"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488B-1CB2-45A5-92A1-02292B2B5BE8}">
  <dimension ref="B2:G16"/>
  <sheetViews>
    <sheetView workbookViewId="0">
      <selection activeCell="C11" sqref="C11"/>
    </sheetView>
  </sheetViews>
  <sheetFormatPr defaultRowHeight="14.4" x14ac:dyDescent="0.3"/>
  <cols>
    <col min="3" max="3" width="12.44140625" customWidth="1"/>
    <col min="4" max="4" width="11.5546875" customWidth="1"/>
    <col min="5" max="5" width="12.109375" customWidth="1"/>
    <col min="6" max="6" width="17" customWidth="1"/>
    <col min="7" max="7" width="11.33203125" customWidth="1"/>
  </cols>
  <sheetData>
    <row r="2" spans="2:7" x14ac:dyDescent="0.3">
      <c r="B2" t="s">
        <v>128</v>
      </c>
    </row>
    <row r="4" spans="2:7" ht="28.8" x14ac:dyDescent="0.3">
      <c r="B4" s="44" t="s">
        <v>129</v>
      </c>
      <c r="C4" s="45" t="s">
        <v>130</v>
      </c>
      <c r="D4" s="45" t="s">
        <v>131</v>
      </c>
      <c r="E4" s="45" t="s">
        <v>132</v>
      </c>
      <c r="F4" s="45" t="s">
        <v>133</v>
      </c>
      <c r="G4" s="45" t="s">
        <v>134</v>
      </c>
    </row>
    <row r="5" spans="2:7" x14ac:dyDescent="0.3">
      <c r="B5" s="46">
        <v>1</v>
      </c>
      <c r="C5" s="46">
        <v>0</v>
      </c>
      <c r="D5" s="46">
        <v>60</v>
      </c>
      <c r="E5" s="47">
        <f>((C5+D5)/2)/100</f>
        <v>0.3</v>
      </c>
      <c r="F5" s="48">
        <f>$C$11</f>
        <v>44545.454545454544</v>
      </c>
      <c r="G5" s="48">
        <f>F5*E5</f>
        <v>13363.636363636362</v>
      </c>
    </row>
    <row r="6" spans="2:7" x14ac:dyDescent="0.3">
      <c r="B6" s="46">
        <v>2</v>
      </c>
      <c r="C6" s="46">
        <v>60</v>
      </c>
      <c r="D6" s="46">
        <v>100</v>
      </c>
      <c r="E6" s="47">
        <f t="shared" ref="E6" si="0">((C6+D6)/2)/100</f>
        <v>0.8</v>
      </c>
      <c r="F6" s="48">
        <f>$C$11</f>
        <v>44545.454545454544</v>
      </c>
      <c r="G6" s="48">
        <f t="shared" ref="G6" si="1">F6*E6</f>
        <v>35636.36363636364</v>
      </c>
    </row>
    <row r="7" spans="2:7" x14ac:dyDescent="0.3">
      <c r="B7" s="46"/>
      <c r="C7" s="46"/>
      <c r="D7" s="46"/>
      <c r="F7" s="62" t="s">
        <v>135</v>
      </c>
      <c r="G7" s="48">
        <f>SUM(G5:G6)</f>
        <v>49000</v>
      </c>
    </row>
    <row r="8" spans="2:7" x14ac:dyDescent="0.3">
      <c r="B8" s="46"/>
      <c r="C8" s="46"/>
      <c r="D8" s="46"/>
      <c r="E8" s="47"/>
      <c r="F8" s="48"/>
      <c r="G8" s="48"/>
    </row>
    <row r="9" spans="2:7" x14ac:dyDescent="0.3">
      <c r="F9" s="49"/>
      <c r="G9" s="25"/>
    </row>
    <row r="10" spans="2:7" x14ac:dyDescent="0.3">
      <c r="C10">
        <f>245000*2</f>
        <v>490000</v>
      </c>
      <c r="D10" t="s">
        <v>194</v>
      </c>
    </row>
    <row r="11" spans="2:7" x14ac:dyDescent="0.3">
      <c r="C11" s="11">
        <f>C10/11</f>
        <v>44545.454545454544</v>
      </c>
      <c r="D11" t="s">
        <v>195</v>
      </c>
      <c r="F11">
        <f>(C11/2)*0.4+(C11/2)*0.1</f>
        <v>11136.363636363638</v>
      </c>
      <c r="G11" t="s">
        <v>67</v>
      </c>
    </row>
    <row r="13" spans="2:7" x14ac:dyDescent="0.3">
      <c r="B13" t="s">
        <v>196</v>
      </c>
      <c r="E13" s="14">
        <f>9*C11</f>
        <v>400909.09090909088</v>
      </c>
    </row>
    <row r="14" spans="2:7" x14ac:dyDescent="0.3">
      <c r="B14" t="s">
        <v>197</v>
      </c>
      <c r="E14" s="25">
        <f>E13+G7</f>
        <v>449909.09090909088</v>
      </c>
      <c r="F14" s="6"/>
    </row>
    <row r="15" spans="2:7" x14ac:dyDescent="0.3">
      <c r="E15" s="25">
        <f>E14/2</f>
        <v>224954.54545454544</v>
      </c>
      <c r="F15" s="65" t="s">
        <v>199</v>
      </c>
      <c r="G15" t="s">
        <v>217</v>
      </c>
    </row>
    <row r="16" spans="2:7" x14ac:dyDescent="0.3">
      <c r="E16" s="2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9E877-0D61-4322-8792-6C71C828BD15}">
  <dimension ref="B2:H16"/>
  <sheetViews>
    <sheetView topLeftCell="B1" workbookViewId="0">
      <selection activeCell="G16" sqref="G16"/>
    </sheetView>
  </sheetViews>
  <sheetFormatPr defaultRowHeight="14.4" x14ac:dyDescent="0.3"/>
  <cols>
    <col min="5" max="5" width="11.33203125" bestFit="1" customWidth="1"/>
    <col min="7" max="7" width="9.33203125" bestFit="1" customWidth="1"/>
  </cols>
  <sheetData>
    <row r="2" spans="2:8" x14ac:dyDescent="0.3">
      <c r="B2" t="s">
        <v>136</v>
      </c>
    </row>
    <row r="4" spans="2:8" x14ac:dyDescent="0.3">
      <c r="B4" t="s">
        <v>137</v>
      </c>
      <c r="E4" s="14">
        <v>490000</v>
      </c>
    </row>
    <row r="5" spans="2:8" x14ac:dyDescent="0.3">
      <c r="B5" t="s">
        <v>138</v>
      </c>
      <c r="E5" s="14">
        <f>E4/48</f>
        <v>10208.333333333334</v>
      </c>
      <c r="F5" t="s">
        <v>139</v>
      </c>
    </row>
    <row r="6" spans="2:8" x14ac:dyDescent="0.3">
      <c r="E6" s="4"/>
    </row>
    <row r="7" spans="2:8" x14ac:dyDescent="0.3">
      <c r="B7" t="s">
        <v>140</v>
      </c>
      <c r="E7" s="14">
        <f>E5/2</f>
        <v>5104.166666666667</v>
      </c>
      <c r="F7" t="s">
        <v>200</v>
      </c>
    </row>
    <row r="8" spans="2:8" x14ac:dyDescent="0.3">
      <c r="E8" s="25">
        <f>E7/2</f>
        <v>2552.0833333333335</v>
      </c>
      <c r="F8" t="s">
        <v>199</v>
      </c>
    </row>
    <row r="11" spans="2:8" x14ac:dyDescent="0.3">
      <c r="B11" t="s">
        <v>202</v>
      </c>
    </row>
    <row r="13" spans="2:8" x14ac:dyDescent="0.3">
      <c r="C13" t="s">
        <v>203</v>
      </c>
    </row>
    <row r="14" spans="2:8" x14ac:dyDescent="0.3">
      <c r="C14" t="s">
        <v>204</v>
      </c>
      <c r="E14" t="s">
        <v>214</v>
      </c>
    </row>
    <row r="16" spans="2:8" x14ac:dyDescent="0.3">
      <c r="C16" t="s">
        <v>205</v>
      </c>
      <c r="G16" s="5">
        <f>'Ej1'!C6/34</f>
        <v>4497.3202848978781</v>
      </c>
      <c r="H16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Gráficos proveedores</vt:lpstr>
      <vt:lpstr>Links de referencia</vt:lpstr>
      <vt:lpstr>Dim. Técnico</vt:lpstr>
      <vt:lpstr>Ej1</vt:lpstr>
      <vt:lpstr>Ej2</vt:lpstr>
      <vt:lpstr>Ej3</vt:lpstr>
      <vt:lpstr>Ej 4 y 5</vt:lpstr>
      <vt:lpstr>Ej6</vt:lpstr>
      <vt:lpstr>Ej7</vt:lpstr>
      <vt:lpstr>Ej9 y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</dc:creator>
  <cp:lastModifiedBy>Mica</cp:lastModifiedBy>
  <dcterms:created xsi:type="dcterms:W3CDTF">2020-05-19T18:31:47Z</dcterms:created>
  <dcterms:modified xsi:type="dcterms:W3CDTF">2020-07-24T14:37:02Z</dcterms:modified>
</cp:coreProperties>
</file>