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ich\Documents\"/>
    </mc:Choice>
  </mc:AlternateContent>
  <xr:revisionPtr revIDLastSave="0" documentId="13_ncr:1_{AB4B0A45-78BC-47AD-9208-3020D436D5A0}" xr6:coauthVersionLast="43" xr6:coauthVersionMax="43" xr10:uidLastSave="{00000000-0000-0000-0000-000000000000}"/>
  <bookViews>
    <workbookView xWindow="-110" yWindow="-110" windowWidth="19420" windowHeight="10420" firstSheet="3" activeTab="6" xr2:uid="{349D2202-7E33-4C09-826E-6F5CCB7BE9E3}"/>
  </bookViews>
  <sheets>
    <sheet name="punto 1" sheetId="6" r:id="rId1"/>
    <sheet name="Evol. Produc- 6" sheetId="1" r:id="rId2"/>
    <sheet name="Stock Prom.-7" sheetId="2" r:id="rId3"/>
    <sheet name="EVOL. VENTAS-8" sheetId="3" r:id="rId4"/>
    <sheet name="CONSUMO DE MP-9" sheetId="4" r:id="rId5"/>
    <sheet name="STOCK PROM. MP-10" sheetId="7" r:id="rId6"/>
    <sheet name="CUADRO RESUMEN-10" sheetId="8" r:id="rId7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8" l="1"/>
  <c r="G17" i="7"/>
  <c r="E17" i="7"/>
  <c r="B13" i="7"/>
  <c r="B12" i="7"/>
  <c r="B11" i="7"/>
  <c r="E8" i="7"/>
  <c r="E9" i="7" s="1"/>
  <c r="E10" i="7" s="1"/>
  <c r="E11" i="7" s="1"/>
  <c r="E12" i="7" s="1"/>
  <c r="E13" i="7" s="1"/>
  <c r="B8" i="7"/>
  <c r="G2" i="7"/>
  <c r="B9" i="7" s="1"/>
  <c r="D25" i="4"/>
  <c r="E22" i="4"/>
  <c r="E21" i="4"/>
  <c r="E20" i="4"/>
  <c r="E17" i="4"/>
  <c r="D16" i="4"/>
  <c r="D15" i="4"/>
  <c r="D18" i="4" s="1"/>
  <c r="C21" i="6"/>
  <c r="C18" i="6"/>
  <c r="E15" i="6"/>
  <c r="C12" i="4"/>
  <c r="E9" i="6"/>
  <c r="E8" i="6"/>
  <c r="E7" i="6"/>
  <c r="E6" i="6"/>
  <c r="E5" i="6"/>
  <c r="E5" i="4"/>
  <c r="F3" i="4" l="1"/>
  <c r="E6" i="4" s="1"/>
  <c r="E8" i="4" s="1"/>
  <c r="D10" i="2" l="1"/>
  <c r="C7" i="2"/>
  <c r="E7" i="1"/>
  <c r="D28" i="1"/>
  <c r="J7" i="1"/>
  <c r="F18" i="1"/>
  <c r="F17" i="1"/>
  <c r="G17" i="1" s="1"/>
  <c r="F16" i="1"/>
  <c r="G16" i="1" s="1"/>
  <c r="E17" i="1"/>
  <c r="E18" i="1"/>
  <c r="E16" i="1"/>
  <c r="C8" i="1" l="1"/>
  <c r="G18" i="1" l="1"/>
  <c r="G19" i="1" l="1"/>
  <c r="D26" i="1" s="1"/>
</calcChain>
</file>

<file path=xl/sharedStrings.xml><?xml version="1.0" encoding="utf-8"?>
<sst xmlns="http://schemas.openxmlformats.org/spreadsheetml/2006/main" count="164" uniqueCount="133">
  <si>
    <t>a) Volumen de producción mensual en estado de régimen (promedio): se tienen en cuenta 285 días laborales en el año (el resto, vacaciones, fines de semana, feriados, se distribuyen a lo largo del año linealmente), resultando así un valor mensual promedio de:</t>
  </si>
  <si>
    <t>VOLUMEN DE PRODUCCION</t>
  </si>
  <si>
    <t>TIEMPO</t>
  </si>
  <si>
    <t>CANTIDAD</t>
  </si>
  <si>
    <t>1 MES</t>
  </si>
  <si>
    <t>b) Volumen de la producción durante el periodo de puesta en marcha:</t>
  </si>
  <si>
    <t>Es necesario analizar el nivel de producción durante el periodo de puesta en marcha y ver si las capacidades antes determinadas, satisfacen la demanda del primer año</t>
  </si>
  <si>
    <t>mes</t>
  </si>
  <si>
    <t>ritmo de produccion al inicio (%)</t>
  </si>
  <si>
    <t>produccion promedio (%)</t>
  </si>
  <si>
    <t>total</t>
  </si>
  <si>
    <t>6) EVOLUCIÓN DE LA PRODUCCIÓN</t>
  </si>
  <si>
    <t>ritmo de produccion al final (%)</t>
  </si>
  <si>
    <t xml:space="preserve">PRODUCCION POR MES EN GRAMOS </t>
  </si>
  <si>
    <t xml:space="preserve">gr/mes </t>
  </si>
  <si>
    <t>t/mes</t>
  </si>
  <si>
    <t>c) Capacidad de producción durante el resto del 1er año: 11,5 meses – 3 meses = 8,5 meses</t>
  </si>
  <si>
    <t>produccion mensual promedio (t)</t>
  </si>
  <si>
    <t>produccion propuesta (t)</t>
  </si>
  <si>
    <t>143,48 t/mes * 8,5 meses = 1219,58 t</t>
  </si>
  <si>
    <t xml:space="preserve">e) Volumen de producción del año 2 al 5 = </t>
  </si>
  <si>
    <t>t</t>
  </si>
  <si>
    <t>d) Capacidad de producción en el año 1:    107,61 t + 1219,58 t = 1327,19t</t>
  </si>
  <si>
    <t>PRODUCCION POR ANO EN TONELADA</t>
  </si>
  <si>
    <t>143,48t/mes*11,5 meses=</t>
  </si>
  <si>
    <t>t/ano</t>
  </si>
  <si>
    <t>7) STOCK PROMEDIO DE PRODUCTO ELABORADO</t>
  </si>
  <si>
    <t>a) Volumen de producción semanal promedio, en estado de régimen:</t>
  </si>
  <si>
    <t>volumen de produccion</t>
  </si>
  <si>
    <t>tiempo</t>
  </si>
  <si>
    <t>cantidad</t>
  </si>
  <si>
    <t>1 semana</t>
  </si>
  <si>
    <t xml:space="preserve">Entonces el Stock promedio es </t>
  </si>
  <si>
    <t>50 semanas</t>
  </si>
  <si>
    <t>b) El stock promedio de elaborado varia entre 0 y 33,004t por semana.</t>
  </si>
  <si>
    <t>c) Este stock se forma en el periodo de puesta en marcha y se mantendra constante.</t>
  </si>
  <si>
    <t>8) EVOLUCIÓN DE LAS VENTAS DURANTE LA VIDA ÚTIL DEL PROYECTO</t>
  </si>
  <si>
    <t>Apartir de un estudio de mercado hicimos el plan de ventas.</t>
  </si>
  <si>
    <t>a) venta del ano 1</t>
  </si>
  <si>
    <t xml:space="preserve">b) venta de los anos 2 a 10 </t>
  </si>
  <si>
    <t>1650,02t - 16,5002t =</t>
  </si>
  <si>
    <t>1633,5198 t</t>
  </si>
  <si>
    <t>1650,02 t</t>
  </si>
  <si>
    <t>a) Consumo de materia prima para realizar la producción del 1er año:</t>
  </si>
  <si>
    <t>Se multiplica la producción deseada por un factor de desperdicio propio del año 1.</t>
  </si>
  <si>
    <t>b) Consumo de materia prima en la mercadería en proceso:</t>
  </si>
  <si>
    <t>c) Consumo total de materia prima en el año 1</t>
  </si>
  <si>
    <t>Para los productos elaborados:</t>
  </si>
  <si>
    <t xml:space="preserve">Para la mercadería en curso y semi elaborados: </t>
  </si>
  <si>
    <t>se considera desperdicio 20%</t>
  </si>
  <si>
    <t xml:space="preserve">En los 1eros 3 meses (puesta en marcha) (6b):  </t>
  </si>
  <si>
    <t>107,61 t * 1,2</t>
  </si>
  <si>
    <t>En los 8,5 meses restantes (6c): 1,1 *  1219,58 t=</t>
  </si>
  <si>
    <t>1219,58t+129,132t=</t>
  </si>
  <si>
    <t xml:space="preserve">Total materia prima para la produccion: </t>
  </si>
  <si>
    <t>Volumen de la produccion realizada en el ano (6-d)</t>
  </si>
  <si>
    <t>Desperdicio no recuperable por la produccion realizada</t>
  </si>
  <si>
    <t>volumen de materia prima requerido: la alimentación de proceso durante el ciclo de elaboración (5dias) es:</t>
  </si>
  <si>
    <t>Recuperables</t>
  </si>
  <si>
    <t xml:space="preserve">no recuperables </t>
  </si>
  <si>
    <t>PRODUCCIONES SECCIONALES</t>
  </si>
  <si>
    <t>ALIMENTACION</t>
  </si>
  <si>
    <t>SECCIONES OPERATIVAS</t>
  </si>
  <si>
    <t>DESPERDICIOS</t>
  </si>
  <si>
    <t>TOTALES</t>
  </si>
  <si>
    <t>2250,02/340*5</t>
  </si>
  <si>
    <t>=</t>
  </si>
  <si>
    <t>(incluye todos los desperdicios recuperables como no recuperables)</t>
  </si>
  <si>
    <t>esta mercaderia en curso y semielaborada esta destinada:</t>
  </si>
  <si>
    <t>producto elaborado:</t>
  </si>
  <si>
    <t>2250,02 t/ano</t>
  </si>
  <si>
    <t xml:space="preserve">a) Volumen total ingresado, en la 1era seccion operativa: </t>
  </si>
  <si>
    <t>b) Consumo real de materia prima:</t>
  </si>
  <si>
    <t>2250,02 - 250</t>
  </si>
  <si>
    <t xml:space="preserve">c) Porcentaje de desperdicio operativo, en funcion de produccion </t>
  </si>
  <si>
    <t xml:space="preserve">(250 + 350)/  </t>
  </si>
  <si>
    <t>1650,02 * 100 =</t>
  </si>
  <si>
    <t>d) Porcentaje de desperdicio real en funcion de produccion:</t>
  </si>
  <si>
    <t>350/1650,02 *100</t>
  </si>
  <si>
    <t>%</t>
  </si>
  <si>
    <t>33,09/1,3636=</t>
  </si>
  <si>
    <t>desperdicio no recuperable:</t>
  </si>
  <si>
    <t>24,27*0,2121=</t>
  </si>
  <si>
    <t>desperdicio recuperable a reciclar:</t>
  </si>
  <si>
    <t>33,09 * 0,03636</t>
  </si>
  <si>
    <t>Total de mercaderia en curso y semielaborada:</t>
  </si>
  <si>
    <t xml:space="preserve">Ano 2 al 10: El consumo de materia prima es exclusivamente destinado a la produccion </t>
  </si>
  <si>
    <t xml:space="preserve">cada ano: </t>
  </si>
  <si>
    <t xml:space="preserve">1650,02 * 1,2121= </t>
  </si>
  <si>
    <t xml:space="preserve">Produccion anual </t>
  </si>
  <si>
    <t>1650,02 Toneladas</t>
  </si>
  <si>
    <t xml:space="preserve">desperdicios no recuperables </t>
  </si>
  <si>
    <t>350 toneladas</t>
  </si>
  <si>
    <t>al fin del mes</t>
  </si>
  <si>
    <t>stock</t>
  </si>
  <si>
    <t>compras</t>
  </si>
  <si>
    <t xml:space="preserve">al fin del 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</si>
  <si>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</si>
  <si>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</si>
  <si>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</si>
  <si>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</si>
  <si>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</si>
  <si>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</si>
  <si>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</si>
  <si>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</si>
  <si>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</si>
  <si>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</si>
  <si>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</si>
  <si>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</si>
  <si>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a) Stock minimo de materia prima : (fin de febrero) </t>
  </si>
  <si>
    <t>2000,02 / 11,5=</t>
  </si>
  <si>
    <t xml:space="preserve">(consumo mensual) </t>
  </si>
  <si>
    <t>b) Variacion del stock de materia prima durante el ano y programa de compras:</t>
  </si>
  <si>
    <t xml:space="preserve">En febrero  se consumen 86,96 t porque hay 15 dias de vacaciones. El stock maximo que se forma en el mes de junio equivale al consumo de 8,5 meses.  </t>
  </si>
  <si>
    <t xml:space="preserve">c) EL stock promedio : </t>
  </si>
  <si>
    <t>9608,78 t / 12</t>
  </si>
  <si>
    <t xml:space="preserve">meses de consumo </t>
  </si>
  <si>
    <t>U de medida</t>
  </si>
  <si>
    <t>periodo de inst.</t>
  </si>
  <si>
    <t>ano 1</t>
  </si>
  <si>
    <t xml:space="preserve">anos 2 a 10 </t>
  </si>
  <si>
    <t>t. PT</t>
  </si>
  <si>
    <t>t. MP</t>
  </si>
  <si>
    <t xml:space="preserve">se redondea la MP que se requiere para la puesta en marcha (9-a) que son 129,13 t a 150 t que se compran duran los 3 primeros meses. </t>
  </si>
  <si>
    <t>Resolucion</t>
  </si>
  <si>
    <t>Ventas</t>
  </si>
  <si>
    <t>stock promedio elaborado</t>
  </si>
  <si>
    <t>Produccion</t>
  </si>
  <si>
    <t>Desperdicio no recuperables</t>
  </si>
  <si>
    <t>En curso y semielaborado</t>
  </si>
  <si>
    <t>Consumo de MP</t>
  </si>
  <si>
    <t>stock de MP</t>
  </si>
  <si>
    <t>Compra de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</si>
</sst>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2" borderId="0" xfId="0" applyFill="1" applyBorder="1"/>
    <xf numFmtId="0" fontId="0" fillId="4" borderId="1" xfId="0" applyFill="1" applyBorder="1"/>
    <xf numFmtId="0" fontId="0" fillId="0" borderId="0" xfId="0" applyBorder="1"/>
    <xf numFmtId="0" fontId="0" fillId="0" borderId="0" xfId="0" applyBorder="1" applyAlignment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 applyAlignment="1"/>
    <xf numFmtId="0" fontId="1" fillId="0" borderId="1" xfId="0" applyFont="1" applyBorder="1"/>
    <xf numFmtId="2" fontId="0" fillId="0" borderId="0" xfId="0" applyNumberFormat="1"/>
    <xf numFmtId="2" fontId="1" fillId="0" borderId="0" xfId="0" applyNumberFormat="1" applyFont="1"/>
    <xf numFmtId="9" fontId="1" fillId="0" borderId="0" xfId="1" applyFont="1"/>
    <xf numFmtId="1" fontId="1" fillId="0" borderId="0" xfId="0" applyNumberFormat="1" applyFont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1" fontId="0" fillId="0" borderId="1" xfId="0" applyNumberForma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E029-CBED-4A39-A48D-8ED16E490D4B}">
  <dimension ref="A3:F24"/>
  <sheetViews>
    <sheetView topLeftCell="A3" workbookViewId="0">
      <selection activeCell="E15" sqref="E15"/>
    </sheetView>
  </sheetViews>
  <sheetFormatPr baseColWidth="10" defaultRowHeight="14.5" x14ac:dyDescent="0.35"/>
  <cols>
    <col min="2" max="2" width="12.90625" customWidth="1"/>
    <col min="4" max="4" width="14.1796875" customWidth="1"/>
    <col min="5" max="5" width="13.54296875" customWidth="1"/>
  </cols>
  <sheetData>
    <row r="3" spans="1:6" ht="14.5" customHeight="1" x14ac:dyDescent="0.35">
      <c r="A3" s="27" t="s">
        <v>62</v>
      </c>
      <c r="B3" s="27" t="s">
        <v>61</v>
      </c>
      <c r="C3" s="26" t="s">
        <v>63</v>
      </c>
      <c r="D3" s="26"/>
      <c r="E3" s="27" t="s">
        <v>60</v>
      </c>
    </row>
    <row r="4" spans="1:6" x14ac:dyDescent="0.35">
      <c r="A4" s="27"/>
      <c r="B4" s="27"/>
      <c r="C4" s="17" t="s">
        <v>58</v>
      </c>
      <c r="D4" s="17" t="s">
        <v>59</v>
      </c>
      <c r="E4" s="27"/>
    </row>
    <row r="5" spans="1:6" x14ac:dyDescent="0.35">
      <c r="A5" s="4">
        <v>1</v>
      </c>
      <c r="B5" s="4">
        <v>2250.02</v>
      </c>
      <c r="C5" s="4">
        <v>80</v>
      </c>
      <c r="D5" s="4">
        <v>120</v>
      </c>
      <c r="E5" s="4">
        <f>+B5-200</f>
        <v>2050.02</v>
      </c>
    </row>
    <row r="6" spans="1:6" x14ac:dyDescent="0.35">
      <c r="A6" s="4">
        <v>2</v>
      </c>
      <c r="B6" s="4">
        <v>2050.02</v>
      </c>
      <c r="C6" s="4">
        <v>120</v>
      </c>
      <c r="D6" s="4">
        <v>80</v>
      </c>
      <c r="E6" s="4">
        <f>+B6-200</f>
        <v>1850.02</v>
      </c>
    </row>
    <row r="7" spans="1:6" x14ac:dyDescent="0.35">
      <c r="A7" s="4">
        <v>3</v>
      </c>
      <c r="B7" s="4">
        <v>1850.02</v>
      </c>
      <c r="C7" s="4">
        <v>30</v>
      </c>
      <c r="D7" s="4">
        <v>70</v>
      </c>
      <c r="E7" s="4">
        <f>+B7-100</f>
        <v>1750.02</v>
      </c>
    </row>
    <row r="8" spans="1:6" x14ac:dyDescent="0.35">
      <c r="A8" s="4">
        <v>4</v>
      </c>
      <c r="B8" s="4">
        <v>1750.02</v>
      </c>
      <c r="C8" s="4">
        <v>0</v>
      </c>
      <c r="D8" s="4">
        <v>50</v>
      </c>
      <c r="E8" s="4">
        <f>+B8-50</f>
        <v>1700.02</v>
      </c>
    </row>
    <row r="9" spans="1:6" x14ac:dyDescent="0.35">
      <c r="A9" s="4">
        <v>5</v>
      </c>
      <c r="B9" s="4">
        <v>1700.02</v>
      </c>
      <c r="C9" s="4">
        <v>20</v>
      </c>
      <c r="D9" s="4">
        <v>30</v>
      </c>
      <c r="E9" s="4">
        <f>+B9-50</f>
        <v>1650.02</v>
      </c>
    </row>
    <row r="10" spans="1:6" x14ac:dyDescent="0.35">
      <c r="A10" s="17" t="s">
        <v>64</v>
      </c>
      <c r="B10" s="17">
        <v>2250.02</v>
      </c>
      <c r="C10" s="17">
        <v>250</v>
      </c>
      <c r="D10" s="17">
        <v>350</v>
      </c>
      <c r="E10" s="17">
        <v>1650.02</v>
      </c>
    </row>
    <row r="13" spans="1:6" x14ac:dyDescent="0.35">
      <c r="A13" t="s">
        <v>71</v>
      </c>
      <c r="E13" s="14" t="s">
        <v>70</v>
      </c>
    </row>
    <row r="15" spans="1:6" x14ac:dyDescent="0.35">
      <c r="A15" t="s">
        <v>72</v>
      </c>
      <c r="D15" t="s">
        <v>73</v>
      </c>
      <c r="E15" s="14">
        <f>+B10-C10</f>
        <v>2000.02</v>
      </c>
      <c r="F15" s="14" t="s">
        <v>25</v>
      </c>
    </row>
    <row r="17" spans="1:5" x14ac:dyDescent="0.35">
      <c r="A17" t="s">
        <v>74</v>
      </c>
    </row>
    <row r="18" spans="1:5" x14ac:dyDescent="0.35">
      <c r="A18" t="s">
        <v>75</v>
      </c>
      <c r="B18" t="s">
        <v>76</v>
      </c>
      <c r="C18" s="19">
        <f>+(250+350)/1650.02*100</f>
        <v>36.363195597629122</v>
      </c>
      <c r="D18" s="20" t="s">
        <v>79</v>
      </c>
    </row>
    <row r="20" spans="1:5" x14ac:dyDescent="0.35">
      <c r="A20" t="s">
        <v>77</v>
      </c>
    </row>
    <row r="21" spans="1:5" x14ac:dyDescent="0.35">
      <c r="A21" t="s">
        <v>78</v>
      </c>
      <c r="C21" s="19">
        <f>+(350/1650.02)*100</f>
        <v>21.211864098616985</v>
      </c>
      <c r="D21" s="14" t="s">
        <v>79</v>
      </c>
    </row>
    <row r="24" spans="1:5" x14ac:dyDescent="0.35">
      <c r="E24" s="14"/>
    </row>
  </sheetData>
  <mergeCells count="4">
    <mergeCell ref="C3:D3"/>
    <mergeCell ref="A3:A4"/>
    <mergeCell ref="B3:B4"/>
    <mergeCell ref="E3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AFB74-00D7-4275-A8A0-F7055F31A3F0}">
  <dimension ref="A2:K30"/>
  <sheetViews>
    <sheetView topLeftCell="A16" workbookViewId="0">
      <selection activeCell="D28" sqref="D28"/>
    </sheetView>
  </sheetViews>
  <sheetFormatPr baseColWidth="10" defaultRowHeight="14.5" x14ac:dyDescent="0.35"/>
  <cols>
    <col min="3" max="3" width="18.90625" customWidth="1"/>
    <col min="4" max="4" width="11.90625" customWidth="1"/>
    <col min="5" max="5" width="12.36328125" customWidth="1"/>
    <col min="6" max="6" width="13.81640625" customWidth="1"/>
    <col min="7" max="7" width="14.81640625" customWidth="1"/>
  </cols>
  <sheetData>
    <row r="2" spans="1:11" ht="18.5" x14ac:dyDescent="0.45">
      <c r="A2" s="15" t="s">
        <v>11</v>
      </c>
    </row>
    <row r="3" spans="1:11" x14ac:dyDescent="0.35">
      <c r="A3" t="s">
        <v>0</v>
      </c>
    </row>
    <row r="5" spans="1:11" x14ac:dyDescent="0.35">
      <c r="B5" s="28" t="s">
        <v>1</v>
      </c>
      <c r="C5" s="28"/>
    </row>
    <row r="6" spans="1:11" x14ac:dyDescent="0.35">
      <c r="B6" s="10" t="s">
        <v>2</v>
      </c>
      <c r="C6" s="10" t="s">
        <v>3</v>
      </c>
      <c r="E6" t="s">
        <v>13</v>
      </c>
      <c r="H6" t="s">
        <v>23</v>
      </c>
    </row>
    <row r="7" spans="1:11" x14ac:dyDescent="0.35">
      <c r="B7" s="11">
        <v>11.5</v>
      </c>
      <c r="C7" s="11">
        <v>3300000</v>
      </c>
      <c r="E7">
        <f>+C8*500</f>
        <v>143478260.86956522</v>
      </c>
      <c r="F7" t="s">
        <v>14</v>
      </c>
      <c r="H7" t="s">
        <v>24</v>
      </c>
      <c r="J7">
        <f>+E8*11.5</f>
        <v>1650.02</v>
      </c>
      <c r="K7" t="s">
        <v>25</v>
      </c>
    </row>
    <row r="8" spans="1:11" x14ac:dyDescent="0.35">
      <c r="B8" s="11" t="s">
        <v>4</v>
      </c>
      <c r="C8" s="11">
        <f>+C7/B7</f>
        <v>286956.52173913043</v>
      </c>
      <c r="E8">
        <v>143.47999999999999</v>
      </c>
      <c r="F8" t="s">
        <v>15</v>
      </c>
    </row>
    <row r="9" spans="1:11" x14ac:dyDescent="0.35">
      <c r="B9" s="1"/>
      <c r="C9" s="1"/>
    </row>
    <row r="12" spans="1:11" x14ac:dyDescent="0.35">
      <c r="A12" t="s">
        <v>5</v>
      </c>
    </row>
    <row r="13" spans="1:11" x14ac:dyDescent="0.35">
      <c r="A13" t="s">
        <v>6</v>
      </c>
    </row>
    <row r="15" spans="1:11" ht="43.5" x14ac:dyDescent="0.35">
      <c r="B15" s="12" t="s">
        <v>7</v>
      </c>
      <c r="C15" s="13" t="s">
        <v>8</v>
      </c>
      <c r="D15" s="13" t="s">
        <v>12</v>
      </c>
      <c r="E15" s="13" t="s">
        <v>9</v>
      </c>
      <c r="F15" s="13" t="s">
        <v>17</v>
      </c>
      <c r="G15" s="13" t="s">
        <v>18</v>
      </c>
      <c r="H15" s="2"/>
    </row>
    <row r="16" spans="1:11" x14ac:dyDescent="0.35">
      <c r="B16" s="5">
        <v>1</v>
      </c>
      <c r="C16" s="5">
        <v>0</v>
      </c>
      <c r="D16" s="5">
        <v>5</v>
      </c>
      <c r="E16" s="5">
        <f>+(D16+C16)/2</f>
        <v>2.5</v>
      </c>
      <c r="F16" s="5">
        <f>+E8</f>
        <v>143.47999999999999</v>
      </c>
      <c r="G16" s="5">
        <f>+F16*E16/100</f>
        <v>3.5869999999999997</v>
      </c>
    </row>
    <row r="17" spans="1:7" x14ac:dyDescent="0.35">
      <c r="B17" s="5">
        <v>2</v>
      </c>
      <c r="C17" s="5">
        <v>5</v>
      </c>
      <c r="D17" s="5">
        <v>20</v>
      </c>
      <c r="E17" s="5">
        <f t="shared" ref="E17:E18" si="0">+(D17+C17)/2</f>
        <v>12.5</v>
      </c>
      <c r="F17" s="5">
        <f>+E8</f>
        <v>143.47999999999999</v>
      </c>
      <c r="G17" s="5">
        <f>+F17*E17/100</f>
        <v>17.934999999999999</v>
      </c>
    </row>
    <row r="18" spans="1:7" x14ac:dyDescent="0.35">
      <c r="B18" s="5">
        <v>3</v>
      </c>
      <c r="C18" s="5">
        <v>20</v>
      </c>
      <c r="D18" s="5">
        <v>100</v>
      </c>
      <c r="E18" s="5">
        <f t="shared" si="0"/>
        <v>60</v>
      </c>
      <c r="F18" s="5">
        <f>+E8</f>
        <v>143.47999999999999</v>
      </c>
      <c r="G18" s="5">
        <f>+F18*E18/100</f>
        <v>86.087999999999994</v>
      </c>
    </row>
    <row r="19" spans="1:7" x14ac:dyDescent="0.35">
      <c r="B19" s="6"/>
      <c r="C19" s="6"/>
      <c r="D19" s="6"/>
      <c r="E19" s="6"/>
      <c r="F19" s="7" t="s">
        <v>10</v>
      </c>
      <c r="G19" s="7">
        <f>+SUM(G16:G18)</f>
        <v>107.60999999999999</v>
      </c>
    </row>
    <row r="20" spans="1:7" x14ac:dyDescent="0.35">
      <c r="A20" s="8"/>
      <c r="B20" s="8"/>
      <c r="C20" s="8"/>
      <c r="D20" s="8"/>
      <c r="E20" s="8"/>
    </row>
    <row r="21" spans="1:7" x14ac:dyDescent="0.35">
      <c r="A21" s="8"/>
      <c r="B21" s="8"/>
      <c r="C21" s="8"/>
      <c r="D21" s="8"/>
      <c r="E21" s="8"/>
    </row>
    <row r="22" spans="1:7" x14ac:dyDescent="0.35">
      <c r="A22" s="8" t="s">
        <v>16</v>
      </c>
      <c r="B22" s="8"/>
      <c r="C22" s="8"/>
      <c r="D22" s="8"/>
      <c r="E22" s="8"/>
      <c r="F22" s="8"/>
      <c r="G22" s="8"/>
    </row>
    <row r="23" spans="1:7" x14ac:dyDescent="0.35">
      <c r="A23" s="8" t="s">
        <v>19</v>
      </c>
      <c r="B23" s="8"/>
      <c r="C23" s="8"/>
      <c r="D23" s="8">
        <v>1219.58</v>
      </c>
      <c r="E23" s="8" t="s">
        <v>21</v>
      </c>
      <c r="F23" s="8"/>
      <c r="G23" s="8"/>
    </row>
    <row r="24" spans="1:7" x14ac:dyDescent="0.35">
      <c r="A24" s="8"/>
      <c r="B24" s="8"/>
      <c r="C24" s="8"/>
      <c r="D24" s="8"/>
      <c r="E24" s="8"/>
      <c r="F24" s="8"/>
      <c r="G24" s="8"/>
    </row>
    <row r="25" spans="1:7" x14ac:dyDescent="0.35">
      <c r="A25" s="8"/>
      <c r="B25" s="8"/>
      <c r="C25" s="8"/>
      <c r="D25" s="8"/>
      <c r="E25" s="8"/>
      <c r="F25" s="8"/>
      <c r="G25" s="8"/>
    </row>
    <row r="26" spans="1:7" x14ac:dyDescent="0.35">
      <c r="A26" s="9" t="s">
        <v>22</v>
      </c>
      <c r="B26" s="8"/>
      <c r="C26" s="8"/>
      <c r="D26" s="8">
        <f>+G19+D23</f>
        <v>1327.1899999999998</v>
      </c>
      <c r="E26" s="8" t="s">
        <v>21</v>
      </c>
      <c r="F26" s="8"/>
      <c r="G26" s="8"/>
    </row>
    <row r="27" spans="1:7" x14ac:dyDescent="0.35">
      <c r="A27" s="8"/>
      <c r="B27" s="8"/>
      <c r="C27" s="8"/>
      <c r="D27" s="8"/>
      <c r="E27" s="8"/>
      <c r="F27" s="8"/>
      <c r="G27" s="8"/>
    </row>
    <row r="28" spans="1:7" x14ac:dyDescent="0.35">
      <c r="A28" s="8" t="s">
        <v>20</v>
      </c>
      <c r="B28" s="8"/>
      <c r="C28" s="8"/>
      <c r="D28" s="8">
        <f>+J7</f>
        <v>1650.02</v>
      </c>
      <c r="E28" s="8" t="s">
        <v>21</v>
      </c>
      <c r="F28" s="8"/>
      <c r="G28" s="8"/>
    </row>
    <row r="29" spans="1:7" x14ac:dyDescent="0.35">
      <c r="A29" s="8"/>
      <c r="B29" s="8"/>
      <c r="C29" s="8"/>
      <c r="D29" s="8"/>
      <c r="E29" s="8"/>
      <c r="F29" s="8"/>
      <c r="G29" s="8"/>
    </row>
    <row r="30" spans="1:7" x14ac:dyDescent="0.35">
      <c r="A30" s="8"/>
      <c r="B30" s="8"/>
      <c r="C30" s="8"/>
      <c r="D30" s="8"/>
      <c r="E30" s="8"/>
    </row>
  </sheetData>
  <mergeCells count="1">
    <mergeCell ref="B5:C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2DF0E-0416-4339-821C-7AFF122544AE}">
  <dimension ref="A1:G12"/>
  <sheetViews>
    <sheetView workbookViewId="0">
      <selection activeCell="A2" sqref="A2:F12"/>
    </sheetView>
  </sheetViews>
  <sheetFormatPr baseColWidth="10" defaultRowHeight="14.5" x14ac:dyDescent="0.35"/>
  <cols>
    <col min="5" max="5" width="13.1796875" bestFit="1" customWidth="1"/>
  </cols>
  <sheetData>
    <row r="1" spans="1:7" ht="18.5" x14ac:dyDescent="0.45">
      <c r="A1" s="15" t="s">
        <v>26</v>
      </c>
    </row>
    <row r="2" spans="1:7" x14ac:dyDescent="0.35">
      <c r="A2" t="s">
        <v>27</v>
      </c>
      <c r="G2">
        <v>52</v>
      </c>
    </row>
    <row r="4" spans="1:7" ht="29" customHeight="1" x14ac:dyDescent="0.35">
      <c r="B4" s="28" t="s">
        <v>28</v>
      </c>
      <c r="C4" s="28"/>
    </row>
    <row r="5" spans="1:7" x14ac:dyDescent="0.35">
      <c r="B5" s="3" t="s">
        <v>29</v>
      </c>
      <c r="C5" s="3" t="s">
        <v>30</v>
      </c>
    </row>
    <row r="6" spans="1:7" x14ac:dyDescent="0.35">
      <c r="B6" s="4" t="s">
        <v>33</v>
      </c>
      <c r="C6" s="4">
        <v>1650.02</v>
      </c>
      <c r="D6" t="s">
        <v>21</v>
      </c>
    </row>
    <row r="7" spans="1:7" x14ac:dyDescent="0.35">
      <c r="B7" s="4" t="s">
        <v>31</v>
      </c>
      <c r="C7" s="4">
        <f>+C6/50</f>
        <v>33.000399999999999</v>
      </c>
      <c r="D7" t="s">
        <v>21</v>
      </c>
    </row>
    <row r="9" spans="1:7" x14ac:dyDescent="0.35">
      <c r="A9" t="s">
        <v>34</v>
      </c>
    </row>
    <row r="10" spans="1:7" x14ac:dyDescent="0.35">
      <c r="A10" t="s">
        <v>32</v>
      </c>
      <c r="D10">
        <f>+C7/2</f>
        <v>16.5002</v>
      </c>
      <c r="E10" t="s">
        <v>21</v>
      </c>
    </row>
    <row r="12" spans="1:7" x14ac:dyDescent="0.35">
      <c r="A12" t="s">
        <v>35</v>
      </c>
    </row>
  </sheetData>
  <mergeCells count="1">
    <mergeCell ref="B4:C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E17DE-485F-4073-836A-26291B374DC6}">
  <dimension ref="A1:F6"/>
  <sheetViews>
    <sheetView workbookViewId="0">
      <selection activeCell="A3" sqref="A3:E7"/>
    </sheetView>
  </sheetViews>
  <sheetFormatPr baseColWidth="10" defaultRowHeight="14.5" x14ac:dyDescent="0.35"/>
  <sheetData>
    <row r="1" spans="1:6" x14ac:dyDescent="0.35">
      <c r="A1" s="14" t="s">
        <v>36</v>
      </c>
      <c r="B1" s="14"/>
      <c r="C1" s="14"/>
      <c r="D1" s="14"/>
      <c r="E1" s="14"/>
      <c r="F1" s="14"/>
    </row>
    <row r="3" spans="1:6" x14ac:dyDescent="0.35">
      <c r="A3" t="s">
        <v>37</v>
      </c>
    </row>
    <row r="4" spans="1:6" x14ac:dyDescent="0.35">
      <c r="A4" t="s">
        <v>38</v>
      </c>
      <c r="C4" s="8" t="s">
        <v>40</v>
      </c>
      <c r="E4" t="s">
        <v>41</v>
      </c>
    </row>
    <row r="6" spans="1:6" x14ac:dyDescent="0.35">
      <c r="A6" t="s">
        <v>39</v>
      </c>
      <c r="D6" t="s">
        <v>42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1DF7E-744B-469A-B584-10894D4CFF14}">
  <dimension ref="A1:H27"/>
  <sheetViews>
    <sheetView topLeftCell="A8" workbookViewId="0">
      <selection activeCell="E20" sqref="E20"/>
    </sheetView>
  </sheetViews>
  <sheetFormatPr baseColWidth="10" defaultRowHeight="14.5" x14ac:dyDescent="0.35"/>
  <cols>
    <col min="1" max="1" width="13.7265625" customWidth="1"/>
    <col min="3" max="3" width="19" customWidth="1"/>
    <col min="4" max="4" width="17.1796875" customWidth="1"/>
    <col min="5" max="5" width="11.81640625" bestFit="1" customWidth="1"/>
    <col min="6" max="6" width="23.08984375" bestFit="1" customWidth="1"/>
    <col min="7" max="7" width="11.81640625" bestFit="1" customWidth="1"/>
  </cols>
  <sheetData>
    <row r="1" spans="1:8" x14ac:dyDescent="0.35">
      <c r="A1" t="s">
        <v>43</v>
      </c>
    </row>
    <row r="2" spans="1:8" x14ac:dyDescent="0.35">
      <c r="A2" t="s">
        <v>44</v>
      </c>
    </row>
    <row r="3" spans="1:8" x14ac:dyDescent="0.35">
      <c r="A3" t="s">
        <v>50</v>
      </c>
      <c r="E3" t="s">
        <v>51</v>
      </c>
      <c r="F3" s="14">
        <f>107.61*1.2</f>
        <v>129.13200000000001</v>
      </c>
      <c r="G3" s="14" t="s">
        <v>21</v>
      </c>
      <c r="H3" t="s">
        <v>49</v>
      </c>
    </row>
    <row r="5" spans="1:8" x14ac:dyDescent="0.35">
      <c r="A5" t="s">
        <v>52</v>
      </c>
      <c r="E5" s="14">
        <f>1.1*1219.58</f>
        <v>1341.538</v>
      </c>
      <c r="F5" s="14" t="s">
        <v>21</v>
      </c>
    </row>
    <row r="6" spans="1:8" x14ac:dyDescent="0.35">
      <c r="A6" t="s">
        <v>54</v>
      </c>
      <c r="D6" t="s">
        <v>53</v>
      </c>
      <c r="E6" s="14">
        <f>+E5+F3</f>
        <v>1470.67</v>
      </c>
      <c r="F6" s="14" t="s">
        <v>21</v>
      </c>
    </row>
    <row r="7" spans="1:8" x14ac:dyDescent="0.35">
      <c r="A7" t="s">
        <v>55</v>
      </c>
      <c r="E7" s="25">
        <v>1327.19</v>
      </c>
      <c r="F7" s="14" t="s">
        <v>21</v>
      </c>
    </row>
    <row r="8" spans="1:8" x14ac:dyDescent="0.35">
      <c r="A8" t="s">
        <v>56</v>
      </c>
      <c r="E8" s="25">
        <f>+E6-E7</f>
        <v>143.48000000000002</v>
      </c>
      <c r="F8" s="14" t="s">
        <v>21</v>
      </c>
    </row>
    <row r="10" spans="1:8" x14ac:dyDescent="0.35">
      <c r="A10" t="s">
        <v>45</v>
      </c>
    </row>
    <row r="11" spans="1:8" x14ac:dyDescent="0.35">
      <c r="A11" t="s">
        <v>57</v>
      </c>
    </row>
    <row r="12" spans="1:8" x14ac:dyDescent="0.35">
      <c r="A12" t="s">
        <v>65</v>
      </c>
      <c r="B12" t="s">
        <v>66</v>
      </c>
      <c r="C12" s="19">
        <f>2250.02/340*5</f>
        <v>33.088529411764704</v>
      </c>
      <c r="D12" t="s">
        <v>21</v>
      </c>
      <c r="E12" t="s">
        <v>67</v>
      </c>
    </row>
    <row r="14" spans="1:8" x14ac:dyDescent="0.35">
      <c r="A14" t="s">
        <v>68</v>
      </c>
    </row>
    <row r="15" spans="1:8" x14ac:dyDescent="0.35">
      <c r="A15" t="s">
        <v>69</v>
      </c>
      <c r="C15" t="s">
        <v>80</v>
      </c>
      <c r="D15" s="19">
        <f>+(33.09/1.3636)</f>
        <v>24.26664711058962</v>
      </c>
      <c r="E15" t="s">
        <v>21</v>
      </c>
    </row>
    <row r="16" spans="1:8" x14ac:dyDescent="0.35">
      <c r="A16" t="s">
        <v>81</v>
      </c>
      <c r="C16" t="s">
        <v>82</v>
      </c>
      <c r="D16" s="19">
        <f>+(24.27*0.2121)</f>
        <v>5.1476670000000002</v>
      </c>
      <c r="E16" t="s">
        <v>21</v>
      </c>
    </row>
    <row r="17" spans="1:6" x14ac:dyDescent="0.35">
      <c r="A17" t="s">
        <v>83</v>
      </c>
      <c r="D17" t="s">
        <v>84</v>
      </c>
      <c r="E17" s="19">
        <f>+(33.09*0.03636)</f>
        <v>1.2031524000000002</v>
      </c>
      <c r="F17" s="14" t="s">
        <v>21</v>
      </c>
    </row>
    <row r="18" spans="1:6" x14ac:dyDescent="0.35">
      <c r="A18" t="s">
        <v>85</v>
      </c>
      <c r="D18" s="19">
        <f>+D15+D16+E17</f>
        <v>30.617466510589622</v>
      </c>
      <c r="E18" t="s">
        <v>21</v>
      </c>
      <c r="F18" s="14"/>
    </row>
    <row r="19" spans="1:6" x14ac:dyDescent="0.35">
      <c r="F19" s="14"/>
    </row>
    <row r="20" spans="1:6" x14ac:dyDescent="0.35">
      <c r="A20" t="s">
        <v>46</v>
      </c>
      <c r="E20" s="14">
        <f>+E6</f>
        <v>1470.67</v>
      </c>
      <c r="F20" s="14" t="s">
        <v>21</v>
      </c>
    </row>
    <row r="21" spans="1:6" x14ac:dyDescent="0.35">
      <c r="A21" t="s">
        <v>47</v>
      </c>
      <c r="E21" s="19">
        <f>+C12</f>
        <v>33.088529411764704</v>
      </c>
      <c r="F21" s="14" t="s">
        <v>21</v>
      </c>
    </row>
    <row r="22" spans="1:6" x14ac:dyDescent="0.35">
      <c r="A22" t="s">
        <v>48</v>
      </c>
      <c r="E22" s="19">
        <f>+E20+E21</f>
        <v>1503.7585294117648</v>
      </c>
      <c r="F22" s="14" t="s">
        <v>21</v>
      </c>
    </row>
    <row r="23" spans="1:6" x14ac:dyDescent="0.35">
      <c r="E23" s="19"/>
      <c r="F23" s="14"/>
    </row>
    <row r="24" spans="1:6" x14ac:dyDescent="0.35">
      <c r="A24" t="s">
        <v>86</v>
      </c>
      <c r="E24" s="18"/>
      <c r="F24" s="14"/>
    </row>
    <row r="25" spans="1:6" x14ac:dyDescent="0.35">
      <c r="A25" t="s">
        <v>87</v>
      </c>
      <c r="B25" t="s">
        <v>88</v>
      </c>
      <c r="D25" s="21">
        <f>1.2121*1650.02</f>
        <v>1999.9892419999999</v>
      </c>
      <c r="E25" s="14" t="s">
        <v>21</v>
      </c>
    </row>
    <row r="27" spans="1:6" x14ac:dyDescent="0.35">
      <c r="A27" t="s">
        <v>89</v>
      </c>
      <c r="C27" s="14" t="s">
        <v>90</v>
      </c>
      <c r="D27" t="s">
        <v>91</v>
      </c>
      <c r="F27" s="14" t="s">
        <v>92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E240-7565-4D06-B732-83DA8890AE3F}">
  <dimension ref="A2:I17"/>
  <sheetViews>
    <sheetView workbookViewId="0">
      <selection activeCell="C17" sqref="C17:I17"/>
    </sheetView>
  </sheetViews>
  <sheetFormatPr baseColWidth="10" defaultRowHeight="14.5" x14ac:dyDescent="0.35"/>
  <cols>
    <col min="1" max="1" width="11.81640625" bestFit="1" customWidth="1"/>
    <col min="4" max="4" width="12.26953125" bestFit="1" customWidth="1"/>
  </cols>
  <sheetData>
    <row r="2" spans="1:9" x14ac:dyDescent="0.35">
      <c r="A2" t="s">
        <v>109</v>
      </c>
      <c r="E2" t="s">
        <v>110</v>
      </c>
      <c r="G2" s="18">
        <f>2000.02/11.5</f>
        <v>173.91478260869565</v>
      </c>
      <c r="H2" t="s">
        <v>21</v>
      </c>
      <c r="I2" t="s">
        <v>111</v>
      </c>
    </row>
    <row r="5" spans="1:9" x14ac:dyDescent="0.35">
      <c r="A5" t="s">
        <v>112</v>
      </c>
    </row>
    <row r="7" spans="1:9" x14ac:dyDescent="0.35">
      <c r="A7" s="22" t="s">
        <v>93</v>
      </c>
      <c r="B7" s="22" t="s">
        <v>94</v>
      </c>
      <c r="C7" s="22" t="s">
        <v>95</v>
      </c>
      <c r="D7" s="22" t="s">
        <v>96</v>
      </c>
      <c r="E7" s="22" t="s">
        <v>94</v>
      </c>
      <c r="F7" s="22" t="s">
        <v>95</v>
      </c>
    </row>
    <row r="8" spans="1:9" x14ac:dyDescent="0.35">
      <c r="A8" s="4" t="s">
        <v>97</v>
      </c>
      <c r="B8" s="4">
        <f>173.91/2+173.91</f>
        <v>260.86500000000001</v>
      </c>
      <c r="C8" s="4"/>
      <c r="D8" s="4" t="s">
        <v>103</v>
      </c>
      <c r="E8" s="23">
        <f>+B13-G2</f>
        <v>1304.3608695652179</v>
      </c>
      <c r="F8" s="4"/>
    </row>
    <row r="9" spans="1:9" x14ac:dyDescent="0.35">
      <c r="A9" s="4" t="s">
        <v>98</v>
      </c>
      <c r="B9" s="23">
        <f>+G2</f>
        <v>173.91478260869565</v>
      </c>
      <c r="C9" s="4"/>
      <c r="D9" s="4" t="s">
        <v>104</v>
      </c>
      <c r="E9" s="23">
        <f>+E8-G2</f>
        <v>1130.4460869565223</v>
      </c>
      <c r="F9" s="4"/>
    </row>
    <row r="10" spans="1:9" x14ac:dyDescent="0.35">
      <c r="A10" s="4" t="s">
        <v>99</v>
      </c>
      <c r="B10" s="24">
        <v>500.005</v>
      </c>
      <c r="C10" s="24">
        <v>500.005</v>
      </c>
      <c r="D10" s="4" t="s">
        <v>105</v>
      </c>
      <c r="E10" s="23">
        <f>+E9-G2</f>
        <v>956.53130434782668</v>
      </c>
      <c r="F10" s="4"/>
    </row>
    <row r="11" spans="1:9" x14ac:dyDescent="0.35">
      <c r="A11" s="4" t="s">
        <v>100</v>
      </c>
      <c r="B11" s="23">
        <f>+B10*2-G2</f>
        <v>826.09521739130435</v>
      </c>
      <c r="C11" s="24">
        <v>500.005</v>
      </c>
      <c r="D11" s="4" t="s">
        <v>106</v>
      </c>
      <c r="E11" s="23">
        <f>+E10-G2</f>
        <v>782.61652173913103</v>
      </c>
      <c r="F11" s="4"/>
    </row>
    <row r="12" spans="1:9" x14ac:dyDescent="0.35">
      <c r="A12" s="4" t="s">
        <v>101</v>
      </c>
      <c r="B12" s="23">
        <f>+B11+C11-G2</f>
        <v>1152.1854347826088</v>
      </c>
      <c r="C12" s="24">
        <v>500.005</v>
      </c>
      <c r="D12" s="4" t="s">
        <v>107</v>
      </c>
      <c r="E12" s="23">
        <f>+E11-G2</f>
        <v>608.70173913043539</v>
      </c>
      <c r="F12" s="4"/>
    </row>
    <row r="13" spans="1:9" x14ac:dyDescent="0.35">
      <c r="A13" s="4" t="s">
        <v>102</v>
      </c>
      <c r="B13" s="23">
        <f>+B12+C12-G2</f>
        <v>1478.2756521739134</v>
      </c>
      <c r="C13" s="24">
        <v>500.005</v>
      </c>
      <c r="D13" s="4" t="s">
        <v>108</v>
      </c>
      <c r="E13" s="23">
        <f>+E12-G2</f>
        <v>434.78695652173974</v>
      </c>
      <c r="F13" s="4"/>
    </row>
    <row r="15" spans="1:9" x14ac:dyDescent="0.35">
      <c r="A15" t="s">
        <v>113</v>
      </c>
    </row>
    <row r="17" spans="1:9" x14ac:dyDescent="0.35">
      <c r="A17" t="s">
        <v>114</v>
      </c>
      <c r="C17" t="s">
        <v>115</v>
      </c>
      <c r="E17" s="19">
        <f>9608.78/12</f>
        <v>800.73166666666668</v>
      </c>
      <c r="F17" s="14" t="s">
        <v>21</v>
      </c>
      <c r="G17" s="19">
        <f>+E17/G2</f>
        <v>4.6041610417229162</v>
      </c>
      <c r="H17" s="14" t="s">
        <v>116</v>
      </c>
      <c r="I17" s="1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98D5F-C79F-438F-94D7-391104B3BF95}">
  <dimension ref="A4:E15"/>
  <sheetViews>
    <sheetView tabSelected="1" workbookViewId="0">
      <selection activeCell="B15" sqref="B15"/>
    </sheetView>
  </sheetViews>
  <sheetFormatPr baseColWidth="10" defaultRowHeight="14.5" x14ac:dyDescent="0.35"/>
  <cols>
    <col min="1" max="1" width="24.7265625" bestFit="1" customWidth="1"/>
    <col min="2" max="2" width="11.36328125" bestFit="1" customWidth="1"/>
    <col min="3" max="3" width="13.90625" bestFit="1" customWidth="1"/>
  </cols>
  <sheetData>
    <row r="4" spans="1:5" x14ac:dyDescent="0.35">
      <c r="A4" s="17" t="s">
        <v>124</v>
      </c>
      <c r="B4" s="22" t="s">
        <v>117</v>
      </c>
      <c r="C4" s="22" t="s">
        <v>118</v>
      </c>
      <c r="D4" s="22" t="s">
        <v>119</v>
      </c>
      <c r="E4" s="22" t="s">
        <v>120</v>
      </c>
    </row>
    <row r="5" spans="1:5" x14ac:dyDescent="0.35">
      <c r="A5" s="4" t="s">
        <v>125</v>
      </c>
      <c r="B5" s="4" t="s">
        <v>121</v>
      </c>
      <c r="C5" s="4"/>
      <c r="D5">
        <v>1633.52</v>
      </c>
      <c r="E5">
        <v>1650.02</v>
      </c>
    </row>
    <row r="6" spans="1:5" x14ac:dyDescent="0.35">
      <c r="A6" s="4" t="s">
        <v>126</v>
      </c>
      <c r="B6" s="4" t="s">
        <v>121</v>
      </c>
      <c r="C6" s="4"/>
      <c r="D6" s="4">
        <v>16.5</v>
      </c>
      <c r="E6" s="4">
        <v>16.5</v>
      </c>
    </row>
    <row r="7" spans="1:5" x14ac:dyDescent="0.35">
      <c r="A7" s="4" t="s">
        <v>127</v>
      </c>
      <c r="B7" s="4" t="s">
        <v>121</v>
      </c>
      <c r="C7" s="4"/>
      <c r="D7" s="4">
        <v>1327.19</v>
      </c>
      <c r="E7" s="4">
        <v>1650.02</v>
      </c>
    </row>
    <row r="8" spans="1:5" x14ac:dyDescent="0.35">
      <c r="A8" s="4" t="s">
        <v>128</v>
      </c>
      <c r="B8" s="4" t="s">
        <v>122</v>
      </c>
      <c r="C8" s="4"/>
      <c r="D8" s="4">
        <v>143.47999999999999</v>
      </c>
      <c r="E8" s="4">
        <v>350</v>
      </c>
    </row>
    <row r="9" spans="1:5" x14ac:dyDescent="0.35">
      <c r="A9" s="4" t="s">
        <v>129</v>
      </c>
      <c r="B9" s="4" t="s">
        <v>122</v>
      </c>
      <c r="C9" s="4"/>
      <c r="D9" s="4">
        <v>1503.76</v>
      </c>
      <c r="E9" s="4">
        <v>1503.76</v>
      </c>
    </row>
    <row r="10" spans="1:5" x14ac:dyDescent="0.35">
      <c r="A10" s="4" t="s">
        <v>130</v>
      </c>
      <c r="B10" s="4" t="s">
        <v>122</v>
      </c>
      <c r="C10" s="4"/>
      <c r="D10" s="4">
        <v>1470.67</v>
      </c>
      <c r="E10" s="4">
        <v>2000.02</v>
      </c>
    </row>
    <row r="11" spans="1:5" x14ac:dyDescent="0.35">
      <c r="A11" s="4" t="s">
        <v>131</v>
      </c>
      <c r="B11" s="4" t="s">
        <v>122</v>
      </c>
      <c r="C11" s="4">
        <v>150</v>
      </c>
      <c r="D11" s="4">
        <v>800.73</v>
      </c>
      <c r="E11" s="4">
        <v>800.73</v>
      </c>
    </row>
    <row r="12" spans="1:5" x14ac:dyDescent="0.35">
      <c r="A12" s="4" t="s">
        <v>132</v>
      </c>
      <c r="B12" s="4" t="s">
        <v>122</v>
      </c>
      <c r="C12" s="4">
        <v>150</v>
      </c>
      <c r="D12" s="4">
        <f>+D10+D11-C12</f>
        <v>2121.4</v>
      </c>
      <c r="E12" s="4">
        <v>2000.02</v>
      </c>
    </row>
    <row r="15" spans="1:5" x14ac:dyDescent="0.35">
      <c r="B15" s="16" t="s">
        <v>123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punto 1</vt:lpstr>
      <vt:lpstr>Evol. Produc- 6</vt:lpstr>
      <vt:lpstr>Stock Prom.-7</vt:lpstr>
      <vt:lpstr>EVOL. VENTAS-8</vt:lpstr>
      <vt:lpstr>CONSUMO DE MP-9</vt:lpstr>
      <vt:lpstr>STOCK PROM. MP-10</vt:lpstr>
      <vt:lpstr>CUADRO RESUMEN-10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pmicherlie@gmail.com</dc:creator>
  <cp:lastModifiedBy>pmicherlie@gmail.com</cp:lastModifiedBy>
  <dcterms:created xsi:type="dcterms:W3CDTF">2019-07-06T19:46:26Z</dcterms:created>
  <dcterms:modified xsi:type="dcterms:W3CDTF">2019-07-10T00:58:33Z</dcterms:modified>
</cp:coreProperties>
</file>