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rian_000\Documents\5to INDUSTRIAL\EVALUACION DE PROYECTOS\DIM ECONOMICO TP\"/>
    </mc:Choice>
  </mc:AlternateContent>
  <bookViews>
    <workbookView xWindow="0" yWindow="0" windowWidth="20400" windowHeight="7755" tabRatio="719" firstSheet="12" activeTab="20"/>
  </bookViews>
  <sheets>
    <sheet name="InfoInicial" sheetId="1" r:id="rId1"/>
    <sheet name="E-Inv AF y Am" sheetId="2" r:id="rId2"/>
    <sheet name="PRODUCCION" sheetId="16" r:id="rId3"/>
    <sheet name="COMER" sheetId="19" r:id="rId4"/>
    <sheet name="ADM" sheetId="17" r:id="rId5"/>
    <sheet name="ACT TRABAJO" sheetId="18" r:id="rId6"/>
    <sheet name="E-Costos" sheetId="3" r:id="rId7"/>
    <sheet name="E-InvAT" sheetId="4" r:id="rId8"/>
    <sheet name="E-Cal Inv." sheetId="5" r:id="rId9"/>
    <sheet name="E-IVA " sheetId="6" r:id="rId10"/>
    <sheet name="E-Form" sheetId="7" r:id="rId11"/>
    <sheet name="Servicio de CNR" sheetId="23" r:id="rId12"/>
    <sheet name="Servicio de CR" sheetId="21" r:id="rId13"/>
    <sheet name="Gasto financiero" sheetId="20" r:id="rId14"/>
    <sheet name="F-Cred" sheetId="8" r:id="rId15"/>
    <sheet name="F-CRes" sheetId="9" r:id="rId16"/>
    <sheet name="F-2 Estructura" sheetId="10" r:id="rId17"/>
    <sheet name="F-IVA" sheetId="11" r:id="rId18"/>
    <sheet name="F- CFyU" sheetId="12" r:id="rId19"/>
    <sheet name="F-Balance" sheetId="13" r:id="rId20"/>
    <sheet name="F- Form" sheetId="14" r:id="rId21"/>
  </sheets>
  <definedNames>
    <definedName name="_xlnm.Print_Area" localSheetId="6">('E-Costos'!$A$3:$G$47,'E-Costos'!$A$50:$F$81,'E-Costos'!$A$84:$F$136)</definedName>
    <definedName name="_xlnm.Print_Area" localSheetId="18">'F- CFyU'!$A$3:$H$28</definedName>
    <definedName name="_xlnm.Print_Area" localSheetId="19">'F-Balance'!$A$3:$G$35</definedName>
    <definedName name="_xlnm.Print_Area" localSheetId="14">'F-Cred'!$A$1:$I$54</definedName>
    <definedName name="Excel_BuiltIn_Print_Area" localSheetId="18">('F- CFyU'!#REF!,'F- CFyU'!#REF!,'F- CFyU'!$A$3:$H$28)</definedName>
    <definedName name="Excel_BuiltIn_Print_Area" localSheetId="19">('F-Balance'!#REF!,'F-Balance'!#REF!,'F-Balance'!$A$3:$G$35)</definedName>
  </definedNames>
  <calcPr calcId="152511"/>
</workbook>
</file>

<file path=xl/calcChain.xml><?xml version="1.0" encoding="utf-8"?>
<calcChain xmlns="http://schemas.openxmlformats.org/spreadsheetml/2006/main">
  <c r="K15" i="14" l="1"/>
  <c r="G142" i="14" l="1"/>
  <c r="G141" i="14" s="1"/>
  <c r="G140" i="14" s="1"/>
  <c r="G139" i="14" s="1"/>
  <c r="G138" i="14" s="1"/>
  <c r="G137" i="14" s="1"/>
  <c r="G136" i="14" s="1"/>
  <c r="G135" i="14" s="1"/>
  <c r="G134" i="14" s="1"/>
  <c r="G133" i="14" s="1"/>
  <c r="G132" i="14" s="1"/>
  <c r="G131" i="14" s="1"/>
  <c r="G130" i="14" s="1"/>
  <c r="G129" i="14" s="1"/>
  <c r="G128" i="14" s="1"/>
  <c r="G127" i="14" s="1"/>
  <c r="G126" i="14" s="1"/>
  <c r="G125" i="14" s="1"/>
  <c r="G124" i="14" s="1"/>
  <c r="G123" i="14" s="1"/>
  <c r="G122" i="14" s="1"/>
  <c r="G121" i="14" s="1"/>
  <c r="G120" i="14" s="1"/>
  <c r="G119" i="14" s="1"/>
  <c r="G118" i="14" s="1"/>
  <c r="G117" i="14" s="1"/>
  <c r="G116" i="14" s="1"/>
  <c r="G115" i="14" s="1"/>
  <c r="G114" i="14" s="1"/>
  <c r="G113" i="14" s="1"/>
  <c r="G112" i="14" s="1"/>
  <c r="G111" i="14" s="1"/>
  <c r="G110" i="14" s="1"/>
  <c r="G109" i="14" s="1"/>
  <c r="G108" i="14" s="1"/>
  <c r="G107" i="14" s="1"/>
  <c r="G106" i="14" s="1"/>
  <c r="G105" i="14" s="1"/>
  <c r="G104" i="14" s="1"/>
  <c r="G103" i="14" s="1"/>
  <c r="G102" i="14" s="1"/>
  <c r="G101" i="14" s="1"/>
  <c r="G100" i="14" s="1"/>
  <c r="G99" i="14" s="1"/>
  <c r="G98" i="14" s="1"/>
  <c r="G97" i="14" s="1"/>
  <c r="G96" i="14" s="1"/>
  <c r="G95" i="14" s="1"/>
  <c r="G94" i="14" s="1"/>
  <c r="G93" i="14" s="1"/>
  <c r="G92" i="14" s="1"/>
  <c r="G91" i="14" s="1"/>
  <c r="G90" i="14" s="1"/>
  <c r="G89" i="14" s="1"/>
  <c r="G88" i="14" s="1"/>
  <c r="G87" i="14" s="1"/>
  <c r="G86" i="14" s="1"/>
  <c r="G85" i="14" s="1"/>
  <c r="G84" i="14" s="1"/>
  <c r="G83" i="14" s="1"/>
  <c r="G82" i="14" s="1"/>
  <c r="G81" i="14" s="1"/>
  <c r="G80" i="14" s="1"/>
  <c r="G79" i="14" s="1"/>
  <c r="G78" i="14" s="1"/>
  <c r="G77" i="14" s="1"/>
  <c r="G76" i="14" s="1"/>
  <c r="G75" i="14" s="1"/>
  <c r="G74" i="14" s="1"/>
  <c r="H74" i="14"/>
  <c r="H75" i="14" s="1"/>
  <c r="H76" i="14" s="1"/>
  <c r="H77" i="14" s="1"/>
  <c r="H78" i="14" s="1"/>
  <c r="H79" i="14" s="1"/>
  <c r="H80" i="14" s="1"/>
  <c r="H81" i="14" s="1"/>
  <c r="H82" i="14" s="1"/>
  <c r="H83" i="14" s="1"/>
  <c r="H84" i="14" s="1"/>
  <c r="H85" i="14" s="1"/>
  <c r="H86" i="14" s="1"/>
  <c r="H87" i="14" s="1"/>
  <c r="H88" i="14" s="1"/>
  <c r="H89" i="14" s="1"/>
  <c r="H90" i="14" s="1"/>
  <c r="H91" i="14" s="1"/>
  <c r="H92" i="14" s="1"/>
  <c r="H93" i="14" s="1"/>
  <c r="H94" i="14" s="1"/>
  <c r="H95" i="14" s="1"/>
  <c r="H96" i="14" s="1"/>
  <c r="H97" i="14" s="1"/>
  <c r="H98" i="14" s="1"/>
  <c r="H99" i="14" s="1"/>
  <c r="H100" i="14" s="1"/>
  <c r="H101" i="14" s="1"/>
  <c r="H102" i="14" s="1"/>
  <c r="H103" i="14" s="1"/>
  <c r="H104" i="14" s="1"/>
  <c r="H105" i="14" s="1"/>
  <c r="H106" i="14" s="1"/>
  <c r="H107" i="14" s="1"/>
  <c r="H108" i="14" s="1"/>
  <c r="H109" i="14" s="1"/>
  <c r="H110" i="14" s="1"/>
  <c r="H111" i="14" s="1"/>
  <c r="H112" i="14" s="1"/>
  <c r="H113" i="14" s="1"/>
  <c r="H114" i="14" s="1"/>
  <c r="H115" i="14" s="1"/>
  <c r="H116" i="14" s="1"/>
  <c r="H117" i="14" s="1"/>
  <c r="H118" i="14" s="1"/>
  <c r="H119" i="14" s="1"/>
  <c r="H120" i="14" s="1"/>
  <c r="H121" i="14" s="1"/>
  <c r="H122" i="14" s="1"/>
  <c r="H123" i="14" s="1"/>
  <c r="H124" i="14" s="1"/>
  <c r="H125" i="14" s="1"/>
  <c r="H126" i="14" s="1"/>
  <c r="H127" i="14" s="1"/>
  <c r="H128" i="14" s="1"/>
  <c r="H129" i="14" s="1"/>
  <c r="H130" i="14" s="1"/>
  <c r="H131" i="14" s="1"/>
  <c r="H132" i="14" s="1"/>
  <c r="H133" i="14" s="1"/>
  <c r="H134" i="14" s="1"/>
  <c r="H135" i="14" s="1"/>
  <c r="H136" i="14" s="1"/>
  <c r="H137" i="14" s="1"/>
  <c r="H138" i="14" s="1"/>
  <c r="H139" i="14" s="1"/>
  <c r="H140" i="14" s="1"/>
  <c r="H141" i="14" s="1"/>
  <c r="H142" i="14" s="1"/>
  <c r="H143" i="14" s="1"/>
  <c r="H73" i="14"/>
  <c r="D73" i="14"/>
  <c r="E73" i="14" s="1"/>
  <c r="E74" i="14" s="1"/>
  <c r="E75" i="14" s="1"/>
  <c r="E76" i="14" s="1"/>
  <c r="E77" i="14" s="1"/>
  <c r="E78" i="14" s="1"/>
  <c r="E79" i="14" s="1"/>
  <c r="E80" i="14" s="1"/>
  <c r="E81" i="14" s="1"/>
  <c r="E82" i="14" s="1"/>
  <c r="E83" i="14" s="1"/>
  <c r="E84" i="14" s="1"/>
  <c r="E85" i="14" s="1"/>
  <c r="E86" i="14" s="1"/>
  <c r="E87" i="14" s="1"/>
  <c r="E88" i="14" s="1"/>
  <c r="E89" i="14" s="1"/>
  <c r="E90" i="14" s="1"/>
  <c r="E91" i="14" s="1"/>
  <c r="E92" i="14" s="1"/>
  <c r="E93" i="14" s="1"/>
  <c r="E94" i="14" s="1"/>
  <c r="E95" i="14" s="1"/>
  <c r="E96" i="14" s="1"/>
  <c r="E97" i="14" s="1"/>
  <c r="E98" i="14" s="1"/>
  <c r="E99" i="14" s="1"/>
  <c r="E100" i="14" s="1"/>
  <c r="E101" i="14" s="1"/>
  <c r="E102" i="14" s="1"/>
  <c r="E103" i="14" s="1"/>
  <c r="E104" i="14" s="1"/>
  <c r="E105" i="14" s="1"/>
  <c r="E106" i="14" s="1"/>
  <c r="E107" i="14" s="1"/>
  <c r="E108" i="14" s="1"/>
  <c r="E109" i="14" s="1"/>
  <c r="E110" i="14" s="1"/>
  <c r="E111" i="14" s="1"/>
  <c r="E112" i="14" s="1"/>
  <c r="E113" i="14" s="1"/>
  <c r="E114" i="14" s="1"/>
  <c r="E115" i="14" s="1"/>
  <c r="E116" i="14" s="1"/>
  <c r="E117" i="14" s="1"/>
  <c r="E118" i="14" s="1"/>
  <c r="E119" i="14" s="1"/>
  <c r="E120" i="14" s="1"/>
  <c r="E121" i="14" s="1"/>
  <c r="E122" i="14" s="1"/>
  <c r="E123" i="14" s="1"/>
  <c r="E124" i="14" s="1"/>
  <c r="E125" i="14" s="1"/>
  <c r="E126" i="14" s="1"/>
  <c r="E127" i="14" s="1"/>
  <c r="E128" i="14" s="1"/>
  <c r="E129" i="14" s="1"/>
  <c r="E130" i="14" s="1"/>
  <c r="E131" i="14" s="1"/>
  <c r="E132" i="14" s="1"/>
  <c r="E133" i="14" s="1"/>
  <c r="E134" i="14" s="1"/>
  <c r="E135" i="14" s="1"/>
  <c r="E136" i="14" s="1"/>
  <c r="E137" i="14" s="1"/>
  <c r="E138" i="14" s="1"/>
  <c r="E139" i="14" s="1"/>
  <c r="E140" i="14" s="1"/>
  <c r="E141" i="14" s="1"/>
  <c r="E142" i="14" s="1"/>
  <c r="E143" i="14" s="1"/>
  <c r="D16" i="14"/>
  <c r="F74" i="14"/>
  <c r="F75" i="14" s="1"/>
  <c r="F76" i="14" s="1"/>
  <c r="C74" i="14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B74" i="14"/>
  <c r="B75" i="14" s="1"/>
  <c r="A127" i="14"/>
  <c r="A134" i="14"/>
  <c r="D34" i="14"/>
  <c r="B76" i="14" l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B105" i="14" s="1"/>
  <c r="B106" i="14" s="1"/>
  <c r="B107" i="14" s="1"/>
  <c r="B108" i="14" s="1"/>
  <c r="B109" i="14" s="1"/>
  <c r="B110" i="14" s="1"/>
  <c r="B111" i="14" s="1"/>
  <c r="B112" i="14" s="1"/>
  <c r="B113" i="14" s="1"/>
  <c r="B114" i="14" s="1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B142" i="14" s="1"/>
  <c r="B143" i="14" s="1"/>
  <c r="D75" i="14"/>
  <c r="D74" i="14"/>
  <c r="F77" i="14"/>
  <c r="F73" i="14"/>
  <c r="B73" i="14"/>
  <c r="C73" i="14"/>
  <c r="D76" i="14" l="1"/>
  <c r="D77" i="14"/>
  <c r="F78" i="14"/>
  <c r="E16" i="11"/>
  <c r="F79" i="14" l="1"/>
  <c r="D78" i="14"/>
  <c r="G1" i="14"/>
  <c r="E1" i="13"/>
  <c r="F80" i="14" l="1"/>
  <c r="D79" i="14"/>
  <c r="C6" i="21"/>
  <c r="C4" i="21" s="1"/>
  <c r="A31" i="8"/>
  <c r="A30" i="8"/>
  <c r="A29" i="8"/>
  <c r="A28" i="8"/>
  <c r="A27" i="8"/>
  <c r="A26" i="8"/>
  <c r="C25" i="8"/>
  <c r="A25" i="8"/>
  <c r="C24" i="8"/>
  <c r="A24" i="8"/>
  <c r="C23" i="8"/>
  <c r="A23" i="8"/>
  <c r="C22" i="8"/>
  <c r="A22" i="8"/>
  <c r="G29" i="8"/>
  <c r="E29" i="8"/>
  <c r="G27" i="8"/>
  <c r="E27" i="8"/>
  <c r="G25" i="8"/>
  <c r="E25" i="8"/>
  <c r="E24" i="8"/>
  <c r="G23" i="8"/>
  <c r="E23" i="8"/>
  <c r="G22" i="8"/>
  <c r="E22" i="8"/>
  <c r="A16" i="8"/>
  <c r="A15" i="8"/>
  <c r="A14" i="8"/>
  <c r="D13" i="8"/>
  <c r="A13" i="8"/>
  <c r="D4" i="23"/>
  <c r="E23" i="14"/>
  <c r="F23" i="14" s="1"/>
  <c r="B9" i="13"/>
  <c r="B29" i="10"/>
  <c r="C8" i="12"/>
  <c r="E5" i="14"/>
  <c r="E1" i="12"/>
  <c r="E1" i="11"/>
  <c r="D1" i="10"/>
  <c r="G29" i="13"/>
  <c r="F29" i="13"/>
  <c r="B26" i="13"/>
  <c r="H22" i="12"/>
  <c r="H20" i="12"/>
  <c r="F16" i="11"/>
  <c r="G16" i="11" s="1"/>
  <c r="G11" i="13" s="1"/>
  <c r="E11" i="13"/>
  <c r="D80" i="14" l="1"/>
  <c r="F81" i="14"/>
  <c r="F11" i="13"/>
  <c r="B9" i="12"/>
  <c r="D12" i="17"/>
  <c r="D11" i="17"/>
  <c r="D10" i="17"/>
  <c r="D9" i="17"/>
  <c r="D8" i="17"/>
  <c r="D7" i="17"/>
  <c r="D81" i="14" l="1"/>
  <c r="F82" i="14"/>
  <c r="M24" i="18"/>
  <c r="M33" i="18"/>
  <c r="Z64" i="16"/>
  <c r="D41" i="16"/>
  <c r="D42" i="16"/>
  <c r="D43" i="16"/>
  <c r="D44" i="16"/>
  <c r="D45" i="16"/>
  <c r="D46" i="16"/>
  <c r="D47" i="16"/>
  <c r="D48" i="16"/>
  <c r="M32" i="16"/>
  <c r="F83" i="14" l="1"/>
  <c r="D82" i="14"/>
  <c r="C93" i="16"/>
  <c r="C94" i="16"/>
  <c r="M52" i="17" s="1"/>
  <c r="M51" i="17"/>
  <c r="B43" i="2"/>
  <c r="G43" i="2"/>
  <c r="H1" i="7"/>
  <c r="B7" i="5"/>
  <c r="AA69" i="16"/>
  <c r="AA67" i="16"/>
  <c r="E74" i="3"/>
  <c r="C74" i="3"/>
  <c r="D56" i="3"/>
  <c r="E56" i="3"/>
  <c r="K14" i="19"/>
  <c r="C57" i="17"/>
  <c r="F56" i="3" s="1"/>
  <c r="B57" i="17"/>
  <c r="O14" i="19" s="1"/>
  <c r="B73" i="3" s="1"/>
  <c r="B131" i="3"/>
  <c r="B39" i="10" s="1"/>
  <c r="E8" i="5"/>
  <c r="B8" i="5"/>
  <c r="K5" i="7"/>
  <c r="G16" i="6"/>
  <c r="F16" i="6"/>
  <c r="E16" i="6"/>
  <c r="G15" i="6"/>
  <c r="F15" i="6"/>
  <c r="E15" i="6"/>
  <c r="F22" i="6"/>
  <c r="D25" i="6"/>
  <c r="G25" i="6"/>
  <c r="F25" i="6"/>
  <c r="E25" i="6"/>
  <c r="B21" i="5"/>
  <c r="H21" i="5"/>
  <c r="G21" i="5"/>
  <c r="E21" i="5"/>
  <c r="F8" i="5"/>
  <c r="F21" i="5" s="1"/>
  <c r="G8" i="5"/>
  <c r="H8" i="5"/>
  <c r="B18" i="5"/>
  <c r="B22" i="5" s="1"/>
  <c r="B244" i="3"/>
  <c r="B242" i="3"/>
  <c r="B240" i="3"/>
  <c r="B238" i="3"/>
  <c r="B236" i="3"/>
  <c r="B234" i="3"/>
  <c r="B232" i="3"/>
  <c r="B230" i="3"/>
  <c r="B228" i="3"/>
  <c r="B226" i="3"/>
  <c r="B224" i="3"/>
  <c r="B222" i="3"/>
  <c r="B220" i="3"/>
  <c r="B218" i="3"/>
  <c r="B216" i="3"/>
  <c r="B214" i="3"/>
  <c r="B212" i="3"/>
  <c r="B210" i="3"/>
  <c r="B208" i="3"/>
  <c r="B206" i="3"/>
  <c r="B204" i="3"/>
  <c r="B202" i="3"/>
  <c r="B200" i="3"/>
  <c r="B198" i="3"/>
  <c r="B196" i="3"/>
  <c r="B194" i="3"/>
  <c r="B192" i="3"/>
  <c r="B190" i="3"/>
  <c r="B188" i="3"/>
  <c r="B186" i="3"/>
  <c r="B184" i="3"/>
  <c r="B182" i="3"/>
  <c r="B180" i="3"/>
  <c r="B178" i="3"/>
  <c r="B176" i="3"/>
  <c r="B174" i="3"/>
  <c r="B172" i="3"/>
  <c r="B170" i="3"/>
  <c r="B168" i="3"/>
  <c r="B166" i="3"/>
  <c r="B164" i="3"/>
  <c r="B162" i="3"/>
  <c r="B160" i="3"/>
  <c r="B158" i="3"/>
  <c r="B156" i="3"/>
  <c r="B154" i="3"/>
  <c r="B152" i="3"/>
  <c r="B150" i="3"/>
  <c r="B148" i="3"/>
  <c r="B146" i="3"/>
  <c r="F101" i="3"/>
  <c r="E91" i="3"/>
  <c r="E101" i="3"/>
  <c r="D101" i="3"/>
  <c r="C101" i="3"/>
  <c r="B101" i="3"/>
  <c r="F86" i="3"/>
  <c r="F87" i="3"/>
  <c r="F88" i="3"/>
  <c r="G22" i="6" s="1"/>
  <c r="E86" i="3"/>
  <c r="E88" i="3" s="1"/>
  <c r="E87" i="3"/>
  <c r="D86" i="3"/>
  <c r="D88" i="3" s="1"/>
  <c r="E22" i="6" s="1"/>
  <c r="D87" i="3"/>
  <c r="C86" i="3"/>
  <c r="C87" i="3"/>
  <c r="C88" i="3"/>
  <c r="B86" i="3"/>
  <c r="B88" i="3" s="1"/>
  <c r="B87" i="3"/>
  <c r="F131" i="3"/>
  <c r="F39" i="10" s="1"/>
  <c r="E131" i="3"/>
  <c r="E39" i="10" s="1"/>
  <c r="D131" i="3"/>
  <c r="D39" i="10" s="1"/>
  <c r="C131" i="3"/>
  <c r="C39" i="10" s="1"/>
  <c r="F97" i="3"/>
  <c r="E97" i="3"/>
  <c r="D97" i="3"/>
  <c r="C97" i="3"/>
  <c r="B16" i="4"/>
  <c r="D41" i="19"/>
  <c r="C41" i="19"/>
  <c r="D39" i="19"/>
  <c r="C39" i="19"/>
  <c r="G53" i="19"/>
  <c r="B133" i="3" s="1"/>
  <c r="B41" i="10" s="1"/>
  <c r="F5" i="19"/>
  <c r="D10" i="19"/>
  <c r="G10" i="19" s="1"/>
  <c r="D9" i="19"/>
  <c r="G9" i="19" s="1"/>
  <c r="D8" i="19"/>
  <c r="G8" i="19" s="1"/>
  <c r="D7" i="19"/>
  <c r="G7" i="19" s="1"/>
  <c r="D6" i="19"/>
  <c r="G6" i="19" s="1"/>
  <c r="D5" i="19"/>
  <c r="G45" i="16"/>
  <c r="K28" i="18"/>
  <c r="N28" i="18" s="1"/>
  <c r="C39" i="18" s="1"/>
  <c r="C42" i="18" s="1"/>
  <c r="K29" i="18"/>
  <c r="N29" i="18" s="1"/>
  <c r="D39" i="18" s="1"/>
  <c r="D42" i="18" s="1"/>
  <c r="K30" i="18"/>
  <c r="N30" i="18" s="1"/>
  <c r="E39" i="18" s="1"/>
  <c r="E42" i="18" s="1"/>
  <c r="K31" i="18"/>
  <c r="N31" i="18" s="1"/>
  <c r="F39" i="18" s="1"/>
  <c r="F42" i="18" s="1"/>
  <c r="K32" i="18"/>
  <c r="N32" i="18"/>
  <c r="G39" i="18" s="1"/>
  <c r="G42" i="18" s="1"/>
  <c r="K26" i="18"/>
  <c r="N26" i="18" s="1"/>
  <c r="K27" i="18"/>
  <c r="N27" i="18" s="1"/>
  <c r="B39" i="18" s="1"/>
  <c r="B42" i="18" s="1"/>
  <c r="K33" i="18"/>
  <c r="K17" i="18"/>
  <c r="N17" i="18" s="1"/>
  <c r="H27" i="18" s="1"/>
  <c r="H32" i="18" s="1"/>
  <c r="K18" i="18"/>
  <c r="N18" i="18" s="1"/>
  <c r="B27" i="18" s="1"/>
  <c r="B32" i="18" s="1"/>
  <c r="K19" i="18"/>
  <c r="N19" i="18" s="1"/>
  <c r="C27" i="18" s="1"/>
  <c r="C32" i="18" s="1"/>
  <c r="K20" i="18"/>
  <c r="N20" i="18" s="1"/>
  <c r="D27" i="18" s="1"/>
  <c r="D32" i="18" s="1"/>
  <c r="K21" i="18"/>
  <c r="N21" i="18" s="1"/>
  <c r="E27" i="18" s="1"/>
  <c r="E32" i="18" s="1"/>
  <c r="K22" i="18"/>
  <c r="N22" i="18" s="1"/>
  <c r="F27" i="18" s="1"/>
  <c r="F32" i="18" s="1"/>
  <c r="K23" i="18"/>
  <c r="N23" i="18" s="1"/>
  <c r="G27" i="18" s="1"/>
  <c r="G32" i="18" s="1"/>
  <c r="K28" i="19"/>
  <c r="D74" i="3" s="1"/>
  <c r="K31" i="19"/>
  <c r="B74" i="3" s="1"/>
  <c r="AA64" i="16"/>
  <c r="AA63" i="16"/>
  <c r="AA62" i="16"/>
  <c r="AA61" i="16"/>
  <c r="P57" i="16" s="1"/>
  <c r="AA60" i="16"/>
  <c r="O66" i="16" s="1"/>
  <c r="AA59" i="16"/>
  <c r="AA58" i="16"/>
  <c r="AA57" i="16"/>
  <c r="S66" i="16" s="1"/>
  <c r="B46" i="1"/>
  <c r="B4" i="9" s="1"/>
  <c r="B45" i="1"/>
  <c r="B21" i="18" s="1"/>
  <c r="B14" i="18"/>
  <c r="B13" i="18" s="1"/>
  <c r="B6" i="4" s="1"/>
  <c r="M54" i="17"/>
  <c r="C44" i="17"/>
  <c r="C12" i="17"/>
  <c r="H12" i="17" s="1"/>
  <c r="C11" i="17"/>
  <c r="H11" i="17" s="1"/>
  <c r="C10" i="17"/>
  <c r="C9" i="17"/>
  <c r="H9" i="17" s="1"/>
  <c r="C8" i="17"/>
  <c r="H8" i="17" s="1"/>
  <c r="C7" i="17"/>
  <c r="H7" i="17" s="1"/>
  <c r="C46" i="2"/>
  <c r="C47" i="2"/>
  <c r="C26" i="1"/>
  <c r="C26" i="16"/>
  <c r="C26" i="2"/>
  <c r="K24" i="18"/>
  <c r="N24" i="18" s="1"/>
  <c r="E26" i="3"/>
  <c r="C8" i="3"/>
  <c r="S98" i="16"/>
  <c r="M86" i="16" s="1"/>
  <c r="G48" i="16"/>
  <c r="R32" i="16"/>
  <c r="G41" i="16"/>
  <c r="G42" i="16"/>
  <c r="G43" i="16"/>
  <c r="G44" i="16"/>
  <c r="G46" i="16"/>
  <c r="G47" i="16"/>
  <c r="C95" i="16"/>
  <c r="D69" i="16"/>
  <c r="M58" i="16"/>
  <c r="M39" i="16"/>
  <c r="M37" i="16"/>
  <c r="Q43" i="16" s="1"/>
  <c r="F26" i="16"/>
  <c r="O18" i="16"/>
  <c r="O19" i="16"/>
  <c r="O17" i="16"/>
  <c r="I12" i="16"/>
  <c r="M11" i="16"/>
  <c r="M10" i="16"/>
  <c r="M9" i="16"/>
  <c r="I8" i="16"/>
  <c r="C17" i="16" s="1"/>
  <c r="D50" i="2"/>
  <c r="G50" i="2" s="1"/>
  <c r="E48" i="2"/>
  <c r="C53" i="2"/>
  <c r="C50" i="2"/>
  <c r="C49" i="2"/>
  <c r="C48" i="2"/>
  <c r="D48" i="2" s="1"/>
  <c r="G48" i="2" s="1"/>
  <c r="C45" i="2"/>
  <c r="C44" i="2"/>
  <c r="B48" i="2"/>
  <c r="B47" i="2"/>
  <c r="B44" i="2"/>
  <c r="E44" i="2" s="1"/>
  <c r="B29" i="2"/>
  <c r="B31" i="2" s="1"/>
  <c r="C7" i="5" s="1"/>
  <c r="L8" i="2"/>
  <c r="L9" i="2"/>
  <c r="L10" i="2"/>
  <c r="L11" i="2"/>
  <c r="L7" i="2"/>
  <c r="C20" i="2"/>
  <c r="B9" i="2"/>
  <c r="G1" i="5"/>
  <c r="E3" i="3"/>
  <c r="E1" i="2"/>
  <c r="E1" i="4"/>
  <c r="G1" i="6"/>
  <c r="F1" i="8"/>
  <c r="F1" i="9"/>
  <c r="M38" i="16"/>
  <c r="Q44" i="16" s="1"/>
  <c r="B21" i="16"/>
  <c r="B24" i="16" s="1"/>
  <c r="O20" i="16"/>
  <c r="L12" i="2"/>
  <c r="B11" i="2" s="1"/>
  <c r="F21" i="16"/>
  <c r="B91" i="3" s="1"/>
  <c r="O21" i="16"/>
  <c r="F25" i="16"/>
  <c r="F29" i="16"/>
  <c r="B26" i="3" s="1"/>
  <c r="F84" i="14" l="1"/>
  <c r="D83" i="14"/>
  <c r="B11" i="10"/>
  <c r="B7" i="13"/>
  <c r="C11" i="5"/>
  <c r="F57" i="3"/>
  <c r="B57" i="3"/>
  <c r="E57" i="3"/>
  <c r="C57" i="3"/>
  <c r="H153" i="10"/>
  <c r="H149" i="10"/>
  <c r="H145" i="10"/>
  <c r="H141" i="10"/>
  <c r="H137" i="10"/>
  <c r="H133" i="10"/>
  <c r="H129" i="10"/>
  <c r="H125" i="10"/>
  <c r="H121" i="10"/>
  <c r="H117" i="10"/>
  <c r="H113" i="10"/>
  <c r="H109" i="10"/>
  <c r="H105" i="10"/>
  <c r="H101" i="10"/>
  <c r="H97" i="10"/>
  <c r="H93" i="10"/>
  <c r="H89" i="10"/>
  <c r="H85" i="10"/>
  <c r="H81" i="10"/>
  <c r="H77" i="10"/>
  <c r="H73" i="10"/>
  <c r="H69" i="10"/>
  <c r="H65" i="10"/>
  <c r="H61" i="10"/>
  <c r="H57" i="10"/>
  <c r="H155" i="10"/>
  <c r="H147" i="10"/>
  <c r="H139" i="10"/>
  <c r="H131" i="10"/>
  <c r="H119" i="10"/>
  <c r="H115" i="10"/>
  <c r="H107" i="10"/>
  <c r="H99" i="10"/>
  <c r="H87" i="10"/>
  <c r="H75" i="10"/>
  <c r="H71" i="10"/>
  <c r="H63" i="10"/>
  <c r="H55" i="10"/>
  <c r="J51" i="10" s="1"/>
  <c r="J56" i="10" s="1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J103" i="10" s="1"/>
  <c r="J104" i="10" s="1"/>
  <c r="J105" i="10" s="1"/>
  <c r="J106" i="10" s="1"/>
  <c r="J107" i="10" s="1"/>
  <c r="J108" i="10" s="1"/>
  <c r="J109" i="10" s="1"/>
  <c r="J110" i="10" s="1"/>
  <c r="J111" i="10" s="1"/>
  <c r="J112" i="10" s="1"/>
  <c r="J113" i="10" s="1"/>
  <c r="J114" i="10" s="1"/>
  <c r="J115" i="10" s="1"/>
  <c r="J116" i="10" s="1"/>
  <c r="J117" i="10" s="1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J136" i="10" s="1"/>
  <c r="J137" i="10" s="1"/>
  <c r="J138" i="10" s="1"/>
  <c r="J139" i="10" s="1"/>
  <c r="J140" i="10" s="1"/>
  <c r="J141" i="10" s="1"/>
  <c r="J142" i="10" s="1"/>
  <c r="J143" i="10" s="1"/>
  <c r="J144" i="10" s="1"/>
  <c r="J145" i="10" s="1"/>
  <c r="J146" i="10" s="1"/>
  <c r="J147" i="10" s="1"/>
  <c r="J148" i="10" s="1"/>
  <c r="J149" i="10" s="1"/>
  <c r="J150" i="10" s="1"/>
  <c r="J151" i="10" s="1"/>
  <c r="J152" i="10" s="1"/>
  <c r="J153" i="10" s="1"/>
  <c r="J154" i="10" s="1"/>
  <c r="J155" i="10" s="1"/>
  <c r="H152" i="10"/>
  <c r="H148" i="10"/>
  <c r="H144" i="10"/>
  <c r="H140" i="10"/>
  <c r="H136" i="10"/>
  <c r="H132" i="10"/>
  <c r="H128" i="10"/>
  <c r="H124" i="10"/>
  <c r="H120" i="10"/>
  <c r="H116" i="10"/>
  <c r="H112" i="10"/>
  <c r="H108" i="10"/>
  <c r="H104" i="10"/>
  <c r="H100" i="10"/>
  <c r="H96" i="10"/>
  <c r="H92" i="10"/>
  <c r="H88" i="10"/>
  <c r="H84" i="10"/>
  <c r="H80" i="10"/>
  <c r="H76" i="10"/>
  <c r="H72" i="10"/>
  <c r="H68" i="10"/>
  <c r="H64" i="10"/>
  <c r="H60" i="10"/>
  <c r="H56" i="10"/>
  <c r="H151" i="10"/>
  <c r="H143" i="10"/>
  <c r="H135" i="10"/>
  <c r="H127" i="10"/>
  <c r="H123" i="10"/>
  <c r="H111" i="10"/>
  <c r="H103" i="10"/>
  <c r="H95" i="10"/>
  <c r="H91" i="10"/>
  <c r="H83" i="10"/>
  <c r="H79" i="10"/>
  <c r="H67" i="10"/>
  <c r="H59" i="10"/>
  <c r="H154" i="10"/>
  <c r="H138" i="10"/>
  <c r="H122" i="10"/>
  <c r="H106" i="10"/>
  <c r="H90" i="10"/>
  <c r="H74" i="10"/>
  <c r="H58" i="10"/>
  <c r="H146" i="10"/>
  <c r="H114" i="10"/>
  <c r="H98" i="10"/>
  <c r="H66" i="10"/>
  <c r="H142" i="10"/>
  <c r="H110" i="10"/>
  <c r="H78" i="10"/>
  <c r="H62" i="10"/>
  <c r="H150" i="10"/>
  <c r="H134" i="10"/>
  <c r="H118" i="10"/>
  <c r="H102" i="10"/>
  <c r="H86" i="10"/>
  <c r="H70" i="10"/>
  <c r="H130" i="10"/>
  <c r="H82" i="10"/>
  <c r="H126" i="10"/>
  <c r="H94" i="10"/>
  <c r="H243" i="3"/>
  <c r="H241" i="3"/>
  <c r="H239" i="3"/>
  <c r="H237" i="3"/>
  <c r="H235" i="3"/>
  <c r="H233" i="3"/>
  <c r="H231" i="3"/>
  <c r="H229" i="3"/>
  <c r="H227" i="3"/>
  <c r="H225" i="3"/>
  <c r="H223" i="3"/>
  <c r="H221" i="3"/>
  <c r="H219" i="3"/>
  <c r="H217" i="3"/>
  <c r="H215" i="3"/>
  <c r="H213" i="3"/>
  <c r="H211" i="3"/>
  <c r="H209" i="3"/>
  <c r="H207" i="3"/>
  <c r="H205" i="3"/>
  <c r="H203" i="3"/>
  <c r="H201" i="3"/>
  <c r="H199" i="3"/>
  <c r="H197" i="3"/>
  <c r="H195" i="3"/>
  <c r="H193" i="3"/>
  <c r="H191" i="3"/>
  <c r="H189" i="3"/>
  <c r="H187" i="3"/>
  <c r="H185" i="3"/>
  <c r="H183" i="3"/>
  <c r="H181" i="3"/>
  <c r="H179" i="3"/>
  <c r="H177" i="3"/>
  <c r="H175" i="3"/>
  <c r="H173" i="3"/>
  <c r="H171" i="3"/>
  <c r="H169" i="3"/>
  <c r="H167" i="3"/>
  <c r="H165" i="3"/>
  <c r="H163" i="3"/>
  <c r="H161" i="3"/>
  <c r="H159" i="3"/>
  <c r="H157" i="3"/>
  <c r="H155" i="3"/>
  <c r="H153" i="3"/>
  <c r="H151" i="3"/>
  <c r="H149" i="3"/>
  <c r="H147" i="3"/>
  <c r="H145" i="3"/>
  <c r="D22" i="6"/>
  <c r="H144" i="3"/>
  <c r="J140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183" i="3" s="1"/>
  <c r="J184" i="3" s="1"/>
  <c r="J185" i="3" s="1"/>
  <c r="J186" i="3" s="1"/>
  <c r="J187" i="3" s="1"/>
  <c r="J188" i="3" s="1"/>
  <c r="J189" i="3" s="1"/>
  <c r="J190" i="3" s="1"/>
  <c r="J191" i="3" s="1"/>
  <c r="J192" i="3" s="1"/>
  <c r="J193" i="3" s="1"/>
  <c r="J194" i="3" s="1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H244" i="3"/>
  <c r="H152" i="3"/>
  <c r="H164" i="3"/>
  <c r="H172" i="3"/>
  <c r="H180" i="3"/>
  <c r="H188" i="3"/>
  <c r="H196" i="3"/>
  <c r="H204" i="3"/>
  <c r="H212" i="3"/>
  <c r="H220" i="3"/>
  <c r="H228" i="3"/>
  <c r="H232" i="3"/>
  <c r="H240" i="3"/>
  <c r="D133" i="16"/>
  <c r="C133" i="16"/>
  <c r="B133" i="16" s="1"/>
  <c r="B46" i="2"/>
  <c r="M53" i="17"/>
  <c r="C96" i="16"/>
  <c r="D15" i="3" s="1"/>
  <c r="D7" i="4"/>
  <c r="D9" i="13" s="1"/>
  <c r="G7" i="4"/>
  <c r="G9" i="13" s="1"/>
  <c r="B25" i="5"/>
  <c r="D7" i="5"/>
  <c r="D8" i="5" s="1"/>
  <c r="C29" i="2"/>
  <c r="C31" i="2" s="1"/>
  <c r="C10" i="12"/>
  <c r="C13" i="11"/>
  <c r="D57" i="3"/>
  <c r="H148" i="3"/>
  <c r="H156" i="3"/>
  <c r="H160" i="3"/>
  <c r="H168" i="3"/>
  <c r="H176" i="3"/>
  <c r="H184" i="3"/>
  <c r="H192" i="3"/>
  <c r="H200" i="3"/>
  <c r="H208" i="3"/>
  <c r="H216" i="3"/>
  <c r="H224" i="3"/>
  <c r="H236" i="3"/>
  <c r="D73" i="3"/>
  <c r="F73" i="3"/>
  <c r="E73" i="3"/>
  <c r="C73" i="3"/>
  <c r="O11" i="16"/>
  <c r="E7" i="4"/>
  <c r="E9" i="13" s="1"/>
  <c r="N37" i="16"/>
  <c r="O10" i="16"/>
  <c r="B20" i="18"/>
  <c r="C7" i="4" s="1"/>
  <c r="C6" i="4"/>
  <c r="F7" i="4"/>
  <c r="F9" i="13" s="1"/>
  <c r="B154" i="10"/>
  <c r="B150" i="10"/>
  <c r="B146" i="10"/>
  <c r="B142" i="10"/>
  <c r="B138" i="10"/>
  <c r="B134" i="10"/>
  <c r="B130" i="10"/>
  <c r="B126" i="10"/>
  <c r="B122" i="10"/>
  <c r="B118" i="10"/>
  <c r="B114" i="10"/>
  <c r="B110" i="10"/>
  <c r="B106" i="10"/>
  <c r="B102" i="10"/>
  <c r="B98" i="10"/>
  <c r="B94" i="10"/>
  <c r="B90" i="10"/>
  <c r="B86" i="10"/>
  <c r="B82" i="10"/>
  <c r="B78" i="10"/>
  <c r="B74" i="10"/>
  <c r="B70" i="10"/>
  <c r="B66" i="10"/>
  <c r="B62" i="10"/>
  <c r="B58" i="10"/>
  <c r="B148" i="10"/>
  <c r="B140" i="10"/>
  <c r="B128" i="10"/>
  <c r="B120" i="10"/>
  <c r="B153" i="10"/>
  <c r="B149" i="10"/>
  <c r="B145" i="10"/>
  <c r="B141" i="10"/>
  <c r="B137" i="10"/>
  <c r="B133" i="10"/>
  <c r="B129" i="10"/>
  <c r="B125" i="10"/>
  <c r="B121" i="10"/>
  <c r="B117" i="10"/>
  <c r="B113" i="10"/>
  <c r="B109" i="10"/>
  <c r="B105" i="10"/>
  <c r="B101" i="10"/>
  <c r="B97" i="10"/>
  <c r="B93" i="10"/>
  <c r="B89" i="10"/>
  <c r="B85" i="10"/>
  <c r="B81" i="10"/>
  <c r="B77" i="10"/>
  <c r="B73" i="10"/>
  <c r="B69" i="10"/>
  <c r="B65" i="10"/>
  <c r="B61" i="10"/>
  <c r="B57" i="10"/>
  <c r="B152" i="10"/>
  <c r="B144" i="10"/>
  <c r="B136" i="10"/>
  <c r="B132" i="10"/>
  <c r="B124" i="10"/>
  <c r="B116" i="10"/>
  <c r="B143" i="10"/>
  <c r="B127" i="10"/>
  <c r="B112" i="10"/>
  <c r="B104" i="10"/>
  <c r="B96" i="10"/>
  <c r="B88" i="10"/>
  <c r="B80" i="10"/>
  <c r="B72" i="10"/>
  <c r="B64" i="10"/>
  <c r="B56" i="10"/>
  <c r="B135" i="10"/>
  <c r="B108" i="10"/>
  <c r="B100" i="10"/>
  <c r="B84" i="10"/>
  <c r="B68" i="10"/>
  <c r="B115" i="10"/>
  <c r="B99" i="10"/>
  <c r="B83" i="10"/>
  <c r="B67" i="10"/>
  <c r="B155" i="10"/>
  <c r="B139" i="10"/>
  <c r="B123" i="10"/>
  <c r="B111" i="10"/>
  <c r="B103" i="10"/>
  <c r="B95" i="10"/>
  <c r="B87" i="10"/>
  <c r="B79" i="10"/>
  <c r="B71" i="10"/>
  <c r="B63" i="10"/>
  <c r="B55" i="10"/>
  <c r="H51" i="10" s="1"/>
  <c r="D56" i="10" s="1"/>
  <c r="D57" i="10" s="1"/>
  <c r="D58" i="10" s="1"/>
  <c r="D59" i="10" s="1"/>
  <c r="D60" i="10" s="1"/>
  <c r="D61" i="10" s="1"/>
  <c r="D62" i="10" s="1"/>
  <c r="D63" i="10" s="1"/>
  <c r="D64" i="10" s="1"/>
  <c r="D65" i="10" s="1"/>
  <c r="D66" i="10" s="1"/>
  <c r="D67" i="10" s="1"/>
  <c r="D68" i="10" s="1"/>
  <c r="D69" i="10" s="1"/>
  <c r="D70" i="10" s="1"/>
  <c r="D71" i="10" s="1"/>
  <c r="D72" i="10" s="1"/>
  <c r="D73" i="10" s="1"/>
  <c r="D74" i="10" s="1"/>
  <c r="D75" i="10" s="1"/>
  <c r="D76" i="10" s="1"/>
  <c r="D77" i="10" s="1"/>
  <c r="D78" i="10" s="1"/>
  <c r="D79" i="10" s="1"/>
  <c r="D80" i="10" s="1"/>
  <c r="D81" i="10" s="1"/>
  <c r="D82" i="10" s="1"/>
  <c r="D83" i="10" s="1"/>
  <c r="D84" i="10" s="1"/>
  <c r="D85" i="10" s="1"/>
  <c r="D86" i="10" s="1"/>
  <c r="D87" i="10" s="1"/>
  <c r="D88" i="10" s="1"/>
  <c r="D89" i="10" s="1"/>
  <c r="D90" i="10" s="1"/>
  <c r="D91" i="10" s="1"/>
  <c r="D92" i="10" s="1"/>
  <c r="D93" i="10" s="1"/>
  <c r="D94" i="10" s="1"/>
  <c r="D95" i="10" s="1"/>
  <c r="D96" i="10" s="1"/>
  <c r="D97" i="10" s="1"/>
  <c r="D98" i="10" s="1"/>
  <c r="D99" i="10" s="1"/>
  <c r="D100" i="10" s="1"/>
  <c r="D101" i="10" s="1"/>
  <c r="D102" i="10" s="1"/>
  <c r="D103" i="10" s="1"/>
  <c r="D104" i="10" s="1"/>
  <c r="D105" i="10" s="1"/>
  <c r="D106" i="10" s="1"/>
  <c r="D107" i="10" s="1"/>
  <c r="D108" i="10" s="1"/>
  <c r="D109" i="10" s="1"/>
  <c r="D110" i="10" s="1"/>
  <c r="D111" i="10" s="1"/>
  <c r="D112" i="10" s="1"/>
  <c r="D113" i="10" s="1"/>
  <c r="D114" i="10" s="1"/>
  <c r="D115" i="10" s="1"/>
  <c r="D116" i="10" s="1"/>
  <c r="D117" i="10" s="1"/>
  <c r="D118" i="10" s="1"/>
  <c r="D119" i="10" s="1"/>
  <c r="D120" i="10" s="1"/>
  <c r="D121" i="10" s="1"/>
  <c r="D122" i="10" s="1"/>
  <c r="D123" i="10" s="1"/>
  <c r="D124" i="10" s="1"/>
  <c r="D125" i="10" s="1"/>
  <c r="D126" i="10" s="1"/>
  <c r="D127" i="10" s="1"/>
  <c r="D128" i="10" s="1"/>
  <c r="D129" i="10" s="1"/>
  <c r="D130" i="10" s="1"/>
  <c r="D131" i="10" s="1"/>
  <c r="D132" i="10" s="1"/>
  <c r="D133" i="10" s="1"/>
  <c r="D134" i="10" s="1"/>
  <c r="D135" i="10" s="1"/>
  <c r="D136" i="10" s="1"/>
  <c r="D137" i="10" s="1"/>
  <c r="D138" i="10" s="1"/>
  <c r="D139" i="10" s="1"/>
  <c r="D140" i="10" s="1"/>
  <c r="D141" i="10" s="1"/>
  <c r="D142" i="10" s="1"/>
  <c r="D143" i="10" s="1"/>
  <c r="D144" i="10" s="1"/>
  <c r="D145" i="10" s="1"/>
  <c r="D146" i="10" s="1"/>
  <c r="D147" i="10" s="1"/>
  <c r="D148" i="10" s="1"/>
  <c r="D149" i="10" s="1"/>
  <c r="D150" i="10" s="1"/>
  <c r="D151" i="10" s="1"/>
  <c r="D152" i="10" s="1"/>
  <c r="D153" i="10" s="1"/>
  <c r="D154" i="10" s="1"/>
  <c r="D155" i="10" s="1"/>
  <c r="B151" i="10"/>
  <c r="B119" i="10"/>
  <c r="B92" i="10"/>
  <c r="B76" i="10"/>
  <c r="B60" i="10"/>
  <c r="B147" i="10"/>
  <c r="B131" i="10"/>
  <c r="B107" i="10"/>
  <c r="B91" i="10"/>
  <c r="B75" i="10"/>
  <c r="B59" i="10"/>
  <c r="C22" i="6"/>
  <c r="B243" i="3"/>
  <c r="B241" i="3"/>
  <c r="B239" i="3"/>
  <c r="B237" i="3"/>
  <c r="B235" i="3"/>
  <c r="B233" i="3"/>
  <c r="B231" i="3"/>
  <c r="B229" i="3"/>
  <c r="B227" i="3"/>
  <c r="B225" i="3"/>
  <c r="B223" i="3"/>
  <c r="B221" i="3"/>
  <c r="B219" i="3"/>
  <c r="B217" i="3"/>
  <c r="B215" i="3"/>
  <c r="B213" i="3"/>
  <c r="B211" i="3"/>
  <c r="B209" i="3"/>
  <c r="B207" i="3"/>
  <c r="B205" i="3"/>
  <c r="B203" i="3"/>
  <c r="B201" i="3"/>
  <c r="B199" i="3"/>
  <c r="B197" i="3"/>
  <c r="B195" i="3"/>
  <c r="B193" i="3"/>
  <c r="B191" i="3"/>
  <c r="B189" i="3"/>
  <c r="B187" i="3"/>
  <c r="B185" i="3"/>
  <c r="B183" i="3"/>
  <c r="B181" i="3"/>
  <c r="B179" i="3"/>
  <c r="B177" i="3"/>
  <c r="B175" i="3"/>
  <c r="B173" i="3"/>
  <c r="B171" i="3"/>
  <c r="B169" i="3"/>
  <c r="B167" i="3"/>
  <c r="B165" i="3"/>
  <c r="B163" i="3"/>
  <c r="B161" i="3"/>
  <c r="B159" i="3"/>
  <c r="B157" i="3"/>
  <c r="B155" i="3"/>
  <c r="B153" i="3"/>
  <c r="B151" i="3"/>
  <c r="B149" i="3"/>
  <c r="B147" i="3"/>
  <c r="B145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B144" i="3"/>
  <c r="H140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B23" i="5"/>
  <c r="B15" i="18"/>
  <c r="M55" i="17"/>
  <c r="M66" i="16"/>
  <c r="Q66" i="16"/>
  <c r="C91" i="3"/>
  <c r="C56" i="3"/>
  <c r="F74" i="3"/>
  <c r="B56" i="3"/>
  <c r="D47" i="2"/>
  <c r="G47" i="2" s="1"/>
  <c r="F31" i="16"/>
  <c r="G26" i="3" s="1"/>
  <c r="E47" i="2"/>
  <c r="E4" i="9"/>
  <c r="D4" i="9"/>
  <c r="F4" i="9"/>
  <c r="C4" i="9"/>
  <c r="N57" i="16"/>
  <c r="R57" i="16"/>
  <c r="C53" i="19"/>
  <c r="H10" i="17"/>
  <c r="I32" i="18"/>
  <c r="B10" i="4" s="1"/>
  <c r="H39" i="18"/>
  <c r="H41" i="18"/>
  <c r="C14" i="3"/>
  <c r="D9" i="6" s="1"/>
  <c r="Q86" i="16"/>
  <c r="F14" i="3"/>
  <c r="G9" i="6" s="1"/>
  <c r="E14" i="3"/>
  <c r="F9" i="6" s="1"/>
  <c r="M87" i="16"/>
  <c r="D14" i="3"/>
  <c r="E9" i="6" s="1"/>
  <c r="M44" i="16"/>
  <c r="F15" i="3"/>
  <c r="B8" i="3"/>
  <c r="D8" i="3"/>
  <c r="F26" i="3"/>
  <c r="C101" i="16"/>
  <c r="M40" i="16"/>
  <c r="M41" i="16" s="1"/>
  <c r="N38" i="16"/>
  <c r="F8" i="3"/>
  <c r="D26" i="3"/>
  <c r="E8" i="3"/>
  <c r="D91" i="3"/>
  <c r="F91" i="3"/>
  <c r="M69" i="16"/>
  <c r="M76" i="16" s="1"/>
  <c r="Q69" i="16"/>
  <c r="Q76" i="16" s="1"/>
  <c r="R69" i="16"/>
  <c r="R76" i="16" s="1"/>
  <c r="N69" i="16"/>
  <c r="N76" i="16" s="1"/>
  <c r="R66" i="16"/>
  <c r="R73" i="16" s="1"/>
  <c r="S57" i="16"/>
  <c r="P66" i="16"/>
  <c r="P73" i="16" s="1"/>
  <c r="S69" i="16"/>
  <c r="S76" i="16" s="1"/>
  <c r="P69" i="16"/>
  <c r="P76" i="16" s="1"/>
  <c r="N66" i="16"/>
  <c r="N73" i="16" s="1"/>
  <c r="S73" i="16"/>
  <c r="P61" i="16"/>
  <c r="P62" i="16" s="1"/>
  <c r="P59" i="16"/>
  <c r="P67" i="16" s="1"/>
  <c r="Q73" i="16"/>
  <c r="N61" i="16"/>
  <c r="N62" i="16" s="1"/>
  <c r="N59" i="16"/>
  <c r="N67" i="16" s="1"/>
  <c r="N74" i="16" s="1"/>
  <c r="R59" i="16"/>
  <c r="R67" i="16" s="1"/>
  <c r="R74" i="16" s="1"/>
  <c r="R61" i="16"/>
  <c r="R62" i="16" s="1"/>
  <c r="M73" i="16"/>
  <c r="O73" i="16"/>
  <c r="O69" i="16"/>
  <c r="O76" i="16" s="1"/>
  <c r="Q57" i="16"/>
  <c r="O57" i="16"/>
  <c r="M57" i="16"/>
  <c r="G5" i="19"/>
  <c r="C13" i="19" s="1"/>
  <c r="E69" i="3" s="1"/>
  <c r="G50" i="16"/>
  <c r="C72" i="16" s="1"/>
  <c r="D135" i="16" s="1"/>
  <c r="C15" i="17"/>
  <c r="B18" i="2"/>
  <c r="B49" i="2" s="1"/>
  <c r="B45" i="2"/>
  <c r="D44" i="2"/>
  <c r="G44" i="2" s="1"/>
  <c r="D84" i="14" l="1"/>
  <c r="F85" i="14"/>
  <c r="C6" i="10"/>
  <c r="B53" i="2"/>
  <c r="C33" i="2"/>
  <c r="D133" i="3"/>
  <c r="D41" i="10" s="1"/>
  <c r="C133" i="3"/>
  <c r="C41" i="10" s="1"/>
  <c r="F133" i="3"/>
  <c r="F41" i="10" s="1"/>
  <c r="E133" i="3"/>
  <c r="E41" i="10" s="1"/>
  <c r="G13" i="11"/>
  <c r="G10" i="12"/>
  <c r="C135" i="16"/>
  <c r="B135" i="16" s="1"/>
  <c r="C97" i="16"/>
  <c r="C98" i="16" s="1"/>
  <c r="C33" i="3" s="1"/>
  <c r="E15" i="3"/>
  <c r="F10" i="12"/>
  <c r="F13" i="11"/>
  <c r="C11" i="10"/>
  <c r="D11" i="5"/>
  <c r="E46" i="2"/>
  <c r="D46" i="2"/>
  <c r="G46" i="2" s="1"/>
  <c r="D11" i="10"/>
  <c r="D11" i="3"/>
  <c r="G4" i="9"/>
  <c r="D21" i="5"/>
  <c r="B6" i="7"/>
  <c r="C7" i="13"/>
  <c r="C73" i="16"/>
  <c r="C74" i="16" s="1"/>
  <c r="E13" i="11"/>
  <c r="E10" i="12"/>
  <c r="E6" i="4"/>
  <c r="D6" i="4"/>
  <c r="G6" i="4"/>
  <c r="F6" i="4"/>
  <c r="M57" i="17"/>
  <c r="I7" i="5"/>
  <c r="C77" i="16"/>
  <c r="F11" i="3"/>
  <c r="C15" i="3"/>
  <c r="D13" i="11"/>
  <c r="D10" i="12"/>
  <c r="H10" i="12" s="1"/>
  <c r="C12" i="10"/>
  <c r="D12" i="10" s="1"/>
  <c r="C9" i="13"/>
  <c r="H42" i="18"/>
  <c r="I42" i="18" s="1"/>
  <c r="G10" i="4" s="1"/>
  <c r="D10" i="4"/>
  <c r="F10" i="4"/>
  <c r="C14" i="5"/>
  <c r="B30" i="4"/>
  <c r="B15" i="3"/>
  <c r="C102" i="16"/>
  <c r="C103" i="16" s="1"/>
  <c r="B33" i="3" s="1"/>
  <c r="E33" i="3"/>
  <c r="D13" i="3"/>
  <c r="E8" i="6" s="1"/>
  <c r="M45" i="16"/>
  <c r="M46" i="16" s="1"/>
  <c r="F13" i="3"/>
  <c r="G8" i="6" s="1"/>
  <c r="C13" i="3"/>
  <c r="M43" i="16"/>
  <c r="C28" i="17"/>
  <c r="E13" i="3"/>
  <c r="F8" i="6" s="1"/>
  <c r="Q37" i="16"/>
  <c r="B14" i="3"/>
  <c r="Q89" i="16"/>
  <c r="G32" i="3" s="1"/>
  <c r="M88" i="16"/>
  <c r="Q87" i="16"/>
  <c r="B32" i="3" s="1"/>
  <c r="J20" i="4" s="1"/>
  <c r="Q88" i="16"/>
  <c r="T76" i="16"/>
  <c r="F25" i="3" s="1"/>
  <c r="T73" i="16"/>
  <c r="B7" i="3" s="1"/>
  <c r="R70" i="16"/>
  <c r="R78" i="16" s="1"/>
  <c r="N70" i="16"/>
  <c r="N78" i="16" s="1"/>
  <c r="S61" i="16"/>
  <c r="S62" i="16" s="1"/>
  <c r="S59" i="16"/>
  <c r="S67" i="16" s="1"/>
  <c r="M59" i="16"/>
  <c r="M67" i="16" s="1"/>
  <c r="M61" i="16"/>
  <c r="O61" i="16"/>
  <c r="O62" i="16" s="1"/>
  <c r="O59" i="16"/>
  <c r="O67" i="16" s="1"/>
  <c r="P74" i="16"/>
  <c r="P70" i="16"/>
  <c r="P78" i="16" s="1"/>
  <c r="Q59" i="16"/>
  <c r="Q67" i="16" s="1"/>
  <c r="Q61" i="16"/>
  <c r="Q62" i="16" s="1"/>
  <c r="C25" i="3"/>
  <c r="K17" i="4" s="1"/>
  <c r="D25" i="3"/>
  <c r="D69" i="3"/>
  <c r="C69" i="3"/>
  <c r="E11" i="3"/>
  <c r="C11" i="3"/>
  <c r="G13" i="19"/>
  <c r="B69" i="3" s="1"/>
  <c r="F69" i="3"/>
  <c r="B11" i="3"/>
  <c r="C78" i="16"/>
  <c r="C79" i="16" s="1"/>
  <c r="B29" i="3" s="1"/>
  <c r="E29" i="3"/>
  <c r="D29" i="3"/>
  <c r="C29" i="3"/>
  <c r="F29" i="3"/>
  <c r="F52" i="3"/>
  <c r="D52" i="3"/>
  <c r="M36" i="17"/>
  <c r="N36" i="17" s="1"/>
  <c r="C52" i="3"/>
  <c r="G15" i="17"/>
  <c r="D40" i="19"/>
  <c r="E52" i="3"/>
  <c r="E45" i="2"/>
  <c r="D45" i="2"/>
  <c r="G45" i="2" s="1"/>
  <c r="B20" i="2"/>
  <c r="D49" i="2"/>
  <c r="G49" i="2" s="1"/>
  <c r="E49" i="2"/>
  <c r="B51" i="2"/>
  <c r="B56" i="2" s="1"/>
  <c r="D85" i="14" l="1"/>
  <c r="F86" i="14"/>
  <c r="D33" i="3"/>
  <c r="C10" i="4"/>
  <c r="C30" i="4" s="1"/>
  <c r="B58" i="3"/>
  <c r="C58" i="3"/>
  <c r="E58" i="3"/>
  <c r="C52" i="19"/>
  <c r="C54" i="19" s="1"/>
  <c r="F58" i="3"/>
  <c r="G52" i="19"/>
  <c r="G54" i="19" s="1"/>
  <c r="B75" i="3" s="1"/>
  <c r="D58" i="3"/>
  <c r="D7" i="13"/>
  <c r="E11" i="5"/>
  <c r="C36" i="2"/>
  <c r="C34" i="2"/>
  <c r="F33" i="3"/>
  <c r="E10" i="4"/>
  <c r="E7" i="13"/>
  <c r="F11" i="5"/>
  <c r="E53" i="2"/>
  <c r="D53" i="2"/>
  <c r="G53" i="2" s="1"/>
  <c r="G7" i="13"/>
  <c r="H11" i="5"/>
  <c r="B5" i="10"/>
  <c r="C6" i="5"/>
  <c r="C8" i="5" s="1"/>
  <c r="B90" i="3"/>
  <c r="F7" i="13"/>
  <c r="G11" i="5"/>
  <c r="C15" i="13"/>
  <c r="C7" i="10"/>
  <c r="B19" i="13"/>
  <c r="B22" i="13" s="1"/>
  <c r="D5" i="10"/>
  <c r="D14" i="5"/>
  <c r="D30" i="4"/>
  <c r="E14" i="5"/>
  <c r="H14" i="5"/>
  <c r="G30" i="4"/>
  <c r="F30" i="4"/>
  <c r="G14" i="5"/>
  <c r="E30" i="4"/>
  <c r="F14" i="5"/>
  <c r="K10" i="19"/>
  <c r="C31" i="17"/>
  <c r="D55" i="3"/>
  <c r="C55" i="3"/>
  <c r="F55" i="3"/>
  <c r="E55" i="3"/>
  <c r="E31" i="3"/>
  <c r="D31" i="3"/>
  <c r="F31" i="3"/>
  <c r="C31" i="3"/>
  <c r="K19" i="4" s="1"/>
  <c r="E25" i="3"/>
  <c r="C9" i="6"/>
  <c r="J31" i="4"/>
  <c r="B25" i="3"/>
  <c r="Q38" i="16"/>
  <c r="Q39" i="16"/>
  <c r="B13" i="3"/>
  <c r="D8" i="6"/>
  <c r="F32" i="3"/>
  <c r="C32" i="3"/>
  <c r="E32" i="3"/>
  <c r="D32" i="3"/>
  <c r="S74" i="16"/>
  <c r="S70" i="16"/>
  <c r="S78" i="16" s="1"/>
  <c r="M74" i="16"/>
  <c r="M70" i="16"/>
  <c r="M78" i="16" s="1"/>
  <c r="M62" i="16"/>
  <c r="T62" i="16" s="1"/>
  <c r="T61" i="16"/>
  <c r="O74" i="16"/>
  <c r="O70" i="16"/>
  <c r="O78" i="16" s="1"/>
  <c r="C6" i="6"/>
  <c r="B129" i="3"/>
  <c r="B37" i="10" s="1"/>
  <c r="J28" i="4"/>
  <c r="J17" i="4"/>
  <c r="C26" i="3"/>
  <c r="Q74" i="16"/>
  <c r="Q70" i="16"/>
  <c r="Q78" i="16" s="1"/>
  <c r="B52" i="3"/>
  <c r="C40" i="19"/>
  <c r="G51" i="2"/>
  <c r="E51" i="2"/>
  <c r="D51" i="2"/>
  <c r="D132" i="16"/>
  <c r="B33" i="2"/>
  <c r="C38" i="19"/>
  <c r="M34" i="17"/>
  <c r="C132" i="16"/>
  <c r="D38" i="19"/>
  <c r="G23" i="19" s="1"/>
  <c r="F87" i="14" l="1"/>
  <c r="D86" i="14"/>
  <c r="K30" i="4"/>
  <c r="I11" i="5"/>
  <c r="G16" i="13"/>
  <c r="F16" i="13"/>
  <c r="F75" i="3"/>
  <c r="D75" i="3"/>
  <c r="C75" i="3"/>
  <c r="E75" i="3"/>
  <c r="G56" i="2"/>
  <c r="B10" i="7" s="1"/>
  <c r="B10" i="14" s="1"/>
  <c r="B50" i="10"/>
  <c r="B44" i="10"/>
  <c r="C8" i="10"/>
  <c r="B6" i="14"/>
  <c r="C9" i="10"/>
  <c r="C24" i="10" s="1"/>
  <c r="C14" i="12"/>
  <c r="I14" i="5"/>
  <c r="D56" i="2"/>
  <c r="E21" i="13"/>
  <c r="C21" i="13"/>
  <c r="D21" i="13"/>
  <c r="C19" i="13"/>
  <c r="E56" i="2"/>
  <c r="L8" i="17" s="1"/>
  <c r="M8" i="17" s="1"/>
  <c r="F21" i="13"/>
  <c r="G21" i="13"/>
  <c r="Q40" i="16"/>
  <c r="Q41" i="16"/>
  <c r="B31" i="3" s="1"/>
  <c r="J19" i="4" s="1"/>
  <c r="K20" i="4"/>
  <c r="K31" i="4"/>
  <c r="O10" i="19"/>
  <c r="B72" i="3" s="1"/>
  <c r="B55" i="3"/>
  <c r="C8" i="6"/>
  <c r="D72" i="3"/>
  <c r="C72" i="3"/>
  <c r="F72" i="3"/>
  <c r="E72" i="3"/>
  <c r="B134" i="3"/>
  <c r="B139" i="3"/>
  <c r="D90" i="3"/>
  <c r="E7" i="3"/>
  <c r="D134" i="16"/>
  <c r="C110" i="16" s="1"/>
  <c r="C112" i="16" s="1"/>
  <c r="C111" i="16" s="1"/>
  <c r="C90" i="3"/>
  <c r="F7" i="3"/>
  <c r="C134" i="16"/>
  <c r="B134" i="16" s="1"/>
  <c r="D7" i="3"/>
  <c r="F90" i="3"/>
  <c r="C7" i="3"/>
  <c r="E90" i="3"/>
  <c r="T78" i="16"/>
  <c r="T74" i="16"/>
  <c r="C23" i="19"/>
  <c r="G39" i="19" s="1"/>
  <c r="N34" i="17"/>
  <c r="L9" i="17"/>
  <c r="M9" i="17" s="1"/>
  <c r="L10" i="17"/>
  <c r="M10" i="17" s="1"/>
  <c r="I6" i="7"/>
  <c r="I7" i="7"/>
  <c r="I8" i="7"/>
  <c r="N11" i="16"/>
  <c r="P11" i="16" s="1"/>
  <c r="Q11" i="16" s="1"/>
  <c r="N10" i="16"/>
  <c r="P10" i="16" s="1"/>
  <c r="Q10" i="16" s="1"/>
  <c r="I6" i="5"/>
  <c r="F71" i="3"/>
  <c r="N9" i="16"/>
  <c r="P9" i="16" s="1"/>
  <c r="Q9" i="16" s="1"/>
  <c r="G38" i="19"/>
  <c r="B71" i="3"/>
  <c r="C19" i="6" s="1"/>
  <c r="C8" i="11" s="1"/>
  <c r="B132" i="16"/>
  <c r="B34" i="2"/>
  <c r="B36" i="2"/>
  <c r="F88" i="14" l="1"/>
  <c r="D87" i="14"/>
  <c r="I9" i="7"/>
  <c r="I10" i="7"/>
  <c r="G110" i="16"/>
  <c r="F12" i="3"/>
  <c r="G7" i="6" s="1"/>
  <c r="J9" i="14"/>
  <c r="F25" i="12"/>
  <c r="G25" i="12"/>
  <c r="J10" i="14"/>
  <c r="C22" i="13"/>
  <c r="Q42" i="16"/>
  <c r="G31" i="3" s="1"/>
  <c r="J30" i="4" s="1"/>
  <c r="D71" i="3"/>
  <c r="E71" i="3"/>
  <c r="F19" i="6" s="1"/>
  <c r="F8" i="11" s="1"/>
  <c r="C71" i="3"/>
  <c r="E12" i="3"/>
  <c r="C113" i="16"/>
  <c r="G113" i="16"/>
  <c r="F6" i="6"/>
  <c r="E129" i="3"/>
  <c r="E37" i="10" s="1"/>
  <c r="K110" i="16"/>
  <c r="K116" i="16" s="1"/>
  <c r="D6" i="6"/>
  <c r="C129" i="3"/>
  <c r="C37" i="10" s="1"/>
  <c r="K28" i="4"/>
  <c r="G6" i="6"/>
  <c r="F129" i="3"/>
  <c r="F37" i="10" s="1"/>
  <c r="E6" i="6"/>
  <c r="D129" i="3"/>
  <c r="D37" i="10" s="1"/>
  <c r="I11" i="7"/>
  <c r="B5" i="7"/>
  <c r="C21" i="5"/>
  <c r="I8" i="5"/>
  <c r="C5" i="23" s="1"/>
  <c r="C6" i="23" s="1"/>
  <c r="F10" i="3"/>
  <c r="E10" i="3"/>
  <c r="S9" i="16"/>
  <c r="D10" i="3"/>
  <c r="C10" i="3"/>
  <c r="S10" i="16"/>
  <c r="S6" i="19"/>
  <c r="B53" i="3"/>
  <c r="F30" i="3"/>
  <c r="E30" i="3"/>
  <c r="G19" i="6"/>
  <c r="G8" i="11" s="1"/>
  <c r="E19" i="6"/>
  <c r="E8" i="11" s="1"/>
  <c r="S11" i="16"/>
  <c r="M21" i="16" s="1"/>
  <c r="B10" i="3"/>
  <c r="F53" i="3"/>
  <c r="E53" i="3"/>
  <c r="K6" i="19"/>
  <c r="D19" i="6"/>
  <c r="D8" i="11" s="1"/>
  <c r="G112" i="16"/>
  <c r="O6" i="19"/>
  <c r="C53" i="3"/>
  <c r="D53" i="3"/>
  <c r="F7" i="6"/>
  <c r="D88" i="14" l="1"/>
  <c r="F89" i="14"/>
  <c r="F20" i="3"/>
  <c r="F50" i="10"/>
  <c r="F44" i="10"/>
  <c r="D50" i="10"/>
  <c r="D44" i="10"/>
  <c r="E50" i="10"/>
  <c r="E44" i="10"/>
  <c r="C50" i="10"/>
  <c r="C44" i="10"/>
  <c r="H14" i="23"/>
  <c r="H16" i="23"/>
  <c r="I15" i="8" s="1"/>
  <c r="C17" i="23"/>
  <c r="D30" i="23"/>
  <c r="D5" i="8"/>
  <c r="D29" i="23"/>
  <c r="C28" i="8" s="1"/>
  <c r="D27" i="23"/>
  <c r="H15" i="23"/>
  <c r="I14" i="8" s="1"/>
  <c r="D32" i="23"/>
  <c r="D28" i="23"/>
  <c r="C14" i="23"/>
  <c r="C15" i="23" s="1"/>
  <c r="D31" i="23"/>
  <c r="C30" i="8" s="1"/>
  <c r="B5" i="8"/>
  <c r="D19" i="13"/>
  <c r="D22" i="13" s="1"/>
  <c r="D12" i="3"/>
  <c r="D20" i="3" s="1"/>
  <c r="C12" i="3"/>
  <c r="D7" i="6" s="1"/>
  <c r="D12" i="6" s="1"/>
  <c r="E20" i="3"/>
  <c r="F12" i="6"/>
  <c r="F17" i="6" s="1"/>
  <c r="F6" i="11" s="1"/>
  <c r="B12" i="3"/>
  <c r="B20" i="3" s="1"/>
  <c r="F134" i="3"/>
  <c r="F139" i="3"/>
  <c r="D134" i="3"/>
  <c r="D139" i="3"/>
  <c r="E134" i="3"/>
  <c r="E139" i="3"/>
  <c r="G12" i="6"/>
  <c r="G17" i="6" s="1"/>
  <c r="G6" i="11" s="1"/>
  <c r="C139" i="3"/>
  <c r="C134" i="3"/>
  <c r="R21" i="16"/>
  <c r="T21" i="16" s="1"/>
  <c r="G28" i="3" s="1"/>
  <c r="Q21" i="16"/>
  <c r="B28" i="3" s="1"/>
  <c r="M20" i="16"/>
  <c r="Q20" i="16" s="1"/>
  <c r="C28" i="3" s="1"/>
  <c r="M19" i="16"/>
  <c r="Q19" i="16" s="1"/>
  <c r="D28" i="3" s="1"/>
  <c r="E16" i="3"/>
  <c r="E17" i="3" s="1"/>
  <c r="E39" i="3" s="1"/>
  <c r="E19" i="3"/>
  <c r="E21" i="3" s="1"/>
  <c r="F70" i="3"/>
  <c r="E70" i="3"/>
  <c r="E125" i="3" s="1"/>
  <c r="C20" i="3"/>
  <c r="B70" i="3"/>
  <c r="B125" i="3" s="1"/>
  <c r="M17" i="16"/>
  <c r="Q17" i="16" s="1"/>
  <c r="F28" i="3" s="1"/>
  <c r="M18" i="16"/>
  <c r="Q18" i="16" s="1"/>
  <c r="E28" i="3" s="1"/>
  <c r="I21" i="5"/>
  <c r="D70" i="3"/>
  <c r="D125" i="3" s="1"/>
  <c r="C70" i="3"/>
  <c r="C125" i="3" s="1"/>
  <c r="K112" i="16"/>
  <c r="K111" i="16"/>
  <c r="G111" i="16"/>
  <c r="C16" i="3"/>
  <c r="C17" i="3" s="1"/>
  <c r="C19" i="3"/>
  <c r="F16" i="3"/>
  <c r="F128" i="3" s="1"/>
  <c r="F38" i="10" s="1"/>
  <c r="F19" i="3"/>
  <c r="F21" i="3" s="1"/>
  <c r="F125" i="3"/>
  <c r="B11" i="7"/>
  <c r="D89" i="14" l="1"/>
  <c r="F90" i="14"/>
  <c r="B14" i="8"/>
  <c r="E16" i="23"/>
  <c r="D15" i="8" s="1"/>
  <c r="C16" i="23"/>
  <c r="D33" i="23"/>
  <c r="C33" i="8" s="1"/>
  <c r="F27" i="23"/>
  <c r="C26" i="8"/>
  <c r="C29" i="8"/>
  <c r="F31" i="23"/>
  <c r="E30" i="8" s="1"/>
  <c r="F18" i="12" s="1"/>
  <c r="B13" i="8"/>
  <c r="E15" i="23"/>
  <c r="B16" i="8"/>
  <c r="C23" i="23"/>
  <c r="C27" i="8"/>
  <c r="F29" i="23"/>
  <c r="E28" i="8" s="1"/>
  <c r="F5" i="8"/>
  <c r="F32" i="23"/>
  <c r="E31" i="8" s="1"/>
  <c r="C31" i="8"/>
  <c r="I13" i="8"/>
  <c r="H22" i="23"/>
  <c r="D16" i="3"/>
  <c r="D128" i="3" s="1"/>
  <c r="D38" i="10" s="1"/>
  <c r="E7" i="6"/>
  <c r="E12" i="6" s="1"/>
  <c r="E17" i="6" s="1"/>
  <c r="E6" i="11" s="1"/>
  <c r="D19" i="3"/>
  <c r="E19" i="13"/>
  <c r="E22" i="13" s="1"/>
  <c r="B16" i="3"/>
  <c r="B128" i="3" s="1"/>
  <c r="B38" i="10" s="1"/>
  <c r="C7" i="6"/>
  <c r="C12" i="6" s="1"/>
  <c r="B19" i="3"/>
  <c r="B21" i="3" s="1"/>
  <c r="F17" i="3"/>
  <c r="F39" i="3" s="1"/>
  <c r="F92" i="3"/>
  <c r="F94" i="3" s="1"/>
  <c r="C92" i="3"/>
  <c r="C94" i="3" s="1"/>
  <c r="E128" i="3"/>
  <c r="E38" i="10" s="1"/>
  <c r="C128" i="3"/>
  <c r="C38" i="10" s="1"/>
  <c r="B17" i="3"/>
  <c r="B39" i="3" s="1"/>
  <c r="E92" i="3"/>
  <c r="E94" i="3" s="1"/>
  <c r="C39" i="3"/>
  <c r="E34" i="3"/>
  <c r="E35" i="3" s="1"/>
  <c r="D76" i="3"/>
  <c r="D17" i="4"/>
  <c r="E17" i="4"/>
  <c r="G17" i="4"/>
  <c r="F17" i="4"/>
  <c r="B30" i="3"/>
  <c r="B34" i="3" s="1"/>
  <c r="B35" i="3" s="1"/>
  <c r="K114" i="16"/>
  <c r="G30" i="3" s="1"/>
  <c r="G34" i="3" s="1"/>
  <c r="G35" i="3" s="1"/>
  <c r="C21" i="3"/>
  <c r="E76" i="3"/>
  <c r="C76" i="3"/>
  <c r="B92" i="3"/>
  <c r="B94" i="3" s="1"/>
  <c r="C30" i="3"/>
  <c r="D30" i="3"/>
  <c r="D34" i="3" s="1"/>
  <c r="F34" i="3"/>
  <c r="F35" i="3" s="1"/>
  <c r="B76" i="3"/>
  <c r="F76" i="3"/>
  <c r="F78" i="3" s="1"/>
  <c r="F110" i="3" s="1"/>
  <c r="F9" i="9" s="1"/>
  <c r="C17" i="4"/>
  <c r="D21" i="3"/>
  <c r="F91" i="14" l="1"/>
  <c r="D90" i="14"/>
  <c r="D17" i="3"/>
  <c r="D39" i="3" s="1"/>
  <c r="D92" i="3"/>
  <c r="D94" i="3" s="1"/>
  <c r="D28" i="13"/>
  <c r="E18" i="12"/>
  <c r="E28" i="13"/>
  <c r="E26" i="8"/>
  <c r="F33" i="23"/>
  <c r="E33" i="8" s="1"/>
  <c r="H33" i="23"/>
  <c r="I33" i="8" s="1"/>
  <c r="I21" i="8"/>
  <c r="E24" i="23"/>
  <c r="B28" i="10"/>
  <c r="C24" i="23"/>
  <c r="B15" i="8"/>
  <c r="E17" i="23"/>
  <c r="D16" i="8" s="1"/>
  <c r="D14" i="8"/>
  <c r="F28" i="13"/>
  <c r="G18" i="12"/>
  <c r="F19" i="13"/>
  <c r="F22" i="13" s="1"/>
  <c r="F80" i="3"/>
  <c r="G12" i="4"/>
  <c r="F42" i="3"/>
  <c r="B41" i="3"/>
  <c r="C13" i="6"/>
  <c r="C18" i="4"/>
  <c r="C16" i="10" s="1"/>
  <c r="B132" i="3"/>
  <c r="B42" i="10" s="1"/>
  <c r="C12" i="4"/>
  <c r="D16" i="5" s="1"/>
  <c r="B42" i="3"/>
  <c r="B98" i="3" s="1"/>
  <c r="D35" i="3"/>
  <c r="E42" i="3" s="1"/>
  <c r="F132" i="3"/>
  <c r="F42" i="10" s="1"/>
  <c r="C132" i="3"/>
  <c r="C42" i="10" s="1"/>
  <c r="E132" i="3"/>
  <c r="E42" i="10" s="1"/>
  <c r="D132" i="3"/>
  <c r="D42" i="10" s="1"/>
  <c r="E18" i="4"/>
  <c r="M35" i="17"/>
  <c r="F81" i="3"/>
  <c r="B78" i="3"/>
  <c r="B81" i="3" s="1"/>
  <c r="K18" i="4"/>
  <c r="K22" i="4" s="1"/>
  <c r="K29" i="4"/>
  <c r="K33" i="4" s="1"/>
  <c r="F18" i="4"/>
  <c r="D18" i="4"/>
  <c r="D78" i="3"/>
  <c r="F12" i="4"/>
  <c r="C78" i="3"/>
  <c r="E78" i="3"/>
  <c r="E81" i="3" s="1"/>
  <c r="J18" i="4"/>
  <c r="J22" i="4" s="1"/>
  <c r="J23" i="4" s="1"/>
  <c r="C32" i="4" s="1"/>
  <c r="C15" i="6" s="1"/>
  <c r="J29" i="4"/>
  <c r="J33" i="4" s="1"/>
  <c r="J34" i="4" s="1"/>
  <c r="G18" i="4"/>
  <c r="C34" i="3"/>
  <c r="C35" i="3" s="1"/>
  <c r="F92" i="14" l="1"/>
  <c r="D91" i="14"/>
  <c r="E22" i="23"/>
  <c r="I24" i="23"/>
  <c r="D21" i="8"/>
  <c r="G22" i="23"/>
  <c r="C30" i="13"/>
  <c r="C29" i="13" s="1"/>
  <c r="E30" i="13"/>
  <c r="E29" i="13" s="1"/>
  <c r="B30" i="13"/>
  <c r="B29" i="13" s="1"/>
  <c r="B31" i="13" s="1"/>
  <c r="D30" i="13"/>
  <c r="D29" i="13" s="1"/>
  <c r="C28" i="13"/>
  <c r="D18" i="12"/>
  <c r="H18" i="12" s="1"/>
  <c r="E25" i="23"/>
  <c r="I25" i="23" s="1"/>
  <c r="C25" i="23"/>
  <c r="G16" i="8"/>
  <c r="D28" i="10"/>
  <c r="B8" i="12"/>
  <c r="H8" i="12" s="1"/>
  <c r="D16" i="10"/>
  <c r="G19" i="13"/>
  <c r="G22" i="13" s="1"/>
  <c r="K23" i="4"/>
  <c r="D32" i="4" s="1"/>
  <c r="D15" i="6" s="1"/>
  <c r="E20" i="4"/>
  <c r="C33" i="4"/>
  <c r="C16" i="6" s="1"/>
  <c r="C17" i="6" s="1"/>
  <c r="C6" i="11" s="1"/>
  <c r="C110" i="3"/>
  <c r="C9" i="9" s="1"/>
  <c r="C80" i="3"/>
  <c r="D110" i="3"/>
  <c r="D9" i="9" s="1"/>
  <c r="D80" i="3"/>
  <c r="F20" i="4"/>
  <c r="B110" i="3"/>
  <c r="B9" i="9" s="1"/>
  <c r="B80" i="3"/>
  <c r="G20" i="4"/>
  <c r="E98" i="3"/>
  <c r="E100" i="3" s="1"/>
  <c r="E43" i="3"/>
  <c r="E47" i="3" s="1"/>
  <c r="D42" i="3"/>
  <c r="E12" i="4"/>
  <c r="C20" i="4"/>
  <c r="F98" i="3"/>
  <c r="F100" i="3" s="1"/>
  <c r="F43" i="3"/>
  <c r="F47" i="3" s="1"/>
  <c r="C42" i="3"/>
  <c r="D12" i="4"/>
  <c r="E16" i="5" s="1"/>
  <c r="N35" i="17"/>
  <c r="T19" i="17" s="1"/>
  <c r="P19" i="17"/>
  <c r="L19" i="17"/>
  <c r="C81" i="3"/>
  <c r="B97" i="3"/>
  <c r="B100" i="3" s="1"/>
  <c r="B43" i="3"/>
  <c r="E110" i="3"/>
  <c r="E9" i="9" s="1"/>
  <c r="E80" i="3"/>
  <c r="D20" i="4"/>
  <c r="K34" i="4"/>
  <c r="D33" i="4" s="1"/>
  <c r="D16" i="6" s="1"/>
  <c r="D17" i="6" s="1"/>
  <c r="D6" i="11" s="1"/>
  <c r="D81" i="3"/>
  <c r="D92" i="14" l="1"/>
  <c r="F93" i="14"/>
  <c r="E26" i="23"/>
  <c r="C26" i="23"/>
  <c r="I22" i="23"/>
  <c r="G21" i="8"/>
  <c r="G25" i="23"/>
  <c r="C2" i="20" s="1"/>
  <c r="G9" i="9"/>
  <c r="F16" i="5"/>
  <c r="G16" i="5" s="1"/>
  <c r="H16" i="5" s="1"/>
  <c r="I16" i="5" s="1"/>
  <c r="B44" i="3"/>
  <c r="B46" i="3"/>
  <c r="E102" i="3"/>
  <c r="E105" i="3" s="1"/>
  <c r="E107" i="3" s="1"/>
  <c r="E5" i="9" s="1"/>
  <c r="D98" i="3"/>
  <c r="D100" i="3" s="1"/>
  <c r="D43" i="3"/>
  <c r="D47" i="3" s="1"/>
  <c r="F44" i="3"/>
  <c r="F46" i="3"/>
  <c r="F54" i="3"/>
  <c r="E54" i="3"/>
  <c r="B47" i="3"/>
  <c r="C54" i="3"/>
  <c r="D54" i="3"/>
  <c r="Q31" i="17"/>
  <c r="F102" i="3"/>
  <c r="F105" i="3" s="1"/>
  <c r="F107" i="3" s="1"/>
  <c r="F5" i="9" s="1"/>
  <c r="B102" i="3"/>
  <c r="B54" i="3"/>
  <c r="Q30" i="17"/>
  <c r="C11" i="4" s="1"/>
  <c r="C98" i="3"/>
  <c r="C100" i="3" s="1"/>
  <c r="C43" i="3"/>
  <c r="E44" i="3"/>
  <c r="E46" i="3"/>
  <c r="D93" i="14" l="1"/>
  <c r="F94" i="14"/>
  <c r="D11" i="4"/>
  <c r="E11" i="4" s="1"/>
  <c r="F11" i="4"/>
  <c r="B2" i="20"/>
  <c r="B3" i="20"/>
  <c r="B4" i="20"/>
  <c r="B6" i="10"/>
  <c r="C27" i="23"/>
  <c r="E27" i="23"/>
  <c r="I27" i="23" s="1"/>
  <c r="I26" i="23"/>
  <c r="E6" i="9"/>
  <c r="F6" i="9"/>
  <c r="B11" i="4"/>
  <c r="C31" i="4" s="1"/>
  <c r="C34" i="4" s="1"/>
  <c r="C26" i="6" s="1"/>
  <c r="C17" i="11" s="1"/>
  <c r="C44" i="3"/>
  <c r="C46" i="3"/>
  <c r="C18" i="6"/>
  <c r="B59" i="3"/>
  <c r="B130" i="3" s="1"/>
  <c r="B40" i="10" s="1"/>
  <c r="C47" i="3"/>
  <c r="B105" i="3"/>
  <c r="B107" i="3" s="1"/>
  <c r="B5" i="9" s="1"/>
  <c r="C13" i="4"/>
  <c r="D17" i="5" s="1"/>
  <c r="E18" i="6"/>
  <c r="D59" i="3"/>
  <c r="D130" i="3" s="1"/>
  <c r="D40" i="10" s="1"/>
  <c r="G18" i="6"/>
  <c r="F59" i="3"/>
  <c r="F130" i="3" s="1"/>
  <c r="F40" i="10" s="1"/>
  <c r="D18" i="6"/>
  <c r="C59" i="3"/>
  <c r="C130" i="3" s="1"/>
  <c r="C40" i="10" s="1"/>
  <c r="D102" i="3"/>
  <c r="D105" i="3" s="1"/>
  <c r="D107" i="3" s="1"/>
  <c r="D5" i="9" s="1"/>
  <c r="C102" i="3"/>
  <c r="G11" i="4"/>
  <c r="F18" i="6"/>
  <c r="E59" i="3"/>
  <c r="E130" i="3" s="1"/>
  <c r="E40" i="10" s="1"/>
  <c r="D44" i="3"/>
  <c r="D46" i="3"/>
  <c r="F95" i="14" l="1"/>
  <c r="D94" i="14"/>
  <c r="G27" i="23"/>
  <c r="D6" i="10"/>
  <c r="D7" i="10" s="1"/>
  <c r="B7" i="10"/>
  <c r="B14" i="13"/>
  <c r="B17" i="13" s="1"/>
  <c r="J7" i="14"/>
  <c r="D25" i="12"/>
  <c r="E28" i="23"/>
  <c r="C28" i="23"/>
  <c r="J8" i="14"/>
  <c r="E25" i="12"/>
  <c r="C16" i="13"/>
  <c r="B7" i="20"/>
  <c r="I5" i="14" s="1"/>
  <c r="L5" i="14" s="1"/>
  <c r="D16" i="13"/>
  <c r="C25" i="12"/>
  <c r="H25" i="12" s="1"/>
  <c r="E16" i="13"/>
  <c r="J6" i="14"/>
  <c r="C17" i="10"/>
  <c r="D17" i="10" s="1"/>
  <c r="D6" i="9"/>
  <c r="G21" i="6"/>
  <c r="G23" i="6" s="1"/>
  <c r="G7" i="11"/>
  <c r="F21" i="6"/>
  <c r="F23" i="6" s="1"/>
  <c r="F7" i="11"/>
  <c r="D21" i="6"/>
  <c r="D23" i="6" s="1"/>
  <c r="D7" i="11"/>
  <c r="E21" i="6"/>
  <c r="E23" i="6" s="1"/>
  <c r="E7" i="11"/>
  <c r="B6" i="9"/>
  <c r="C21" i="6"/>
  <c r="C23" i="6" s="1"/>
  <c r="C7" i="11"/>
  <c r="F61" i="3"/>
  <c r="F63" i="3" s="1"/>
  <c r="D15" i="5"/>
  <c r="D61" i="3"/>
  <c r="D63" i="3" s="1"/>
  <c r="E61" i="3"/>
  <c r="E109" i="3" s="1"/>
  <c r="D13" i="4"/>
  <c r="E17" i="5" s="1"/>
  <c r="E13" i="4"/>
  <c r="C105" i="3"/>
  <c r="C107" i="3" s="1"/>
  <c r="C5" i="9" s="1"/>
  <c r="G5" i="9" s="1"/>
  <c r="G6" i="9" s="1"/>
  <c r="G13" i="4"/>
  <c r="G9" i="4" s="1"/>
  <c r="F13" i="4"/>
  <c r="B61" i="3"/>
  <c r="C9" i="4"/>
  <c r="D22" i="5"/>
  <c r="D23" i="5" s="1"/>
  <c r="C140" i="3"/>
  <c r="C135" i="3"/>
  <c r="B135" i="3"/>
  <c r="B140" i="3"/>
  <c r="E15" i="5"/>
  <c r="D31" i="4"/>
  <c r="D34" i="4" s="1"/>
  <c r="C61" i="3"/>
  <c r="E140" i="3"/>
  <c r="E135" i="3"/>
  <c r="G31" i="4"/>
  <c r="G34" i="4" s="1"/>
  <c r="H15" i="5"/>
  <c r="F140" i="3"/>
  <c r="F135" i="3"/>
  <c r="D135" i="3"/>
  <c r="D140" i="3"/>
  <c r="B31" i="4"/>
  <c r="B34" i="4" s="1"/>
  <c r="B9" i="4"/>
  <c r="C15" i="5"/>
  <c r="F96" i="14" l="1"/>
  <c r="D95" i="14"/>
  <c r="E29" i="23"/>
  <c r="I29" i="23" s="1"/>
  <c r="C29" i="23"/>
  <c r="I28" i="23"/>
  <c r="C14" i="13"/>
  <c r="C17" i="13" s="1"/>
  <c r="B12" i="13"/>
  <c r="B8" i="10"/>
  <c r="D8" i="10" s="1"/>
  <c r="D9" i="10" s="1"/>
  <c r="B14" i="12"/>
  <c r="H14" i="12" s="1"/>
  <c r="B5" i="14"/>
  <c r="B11" i="14" s="1"/>
  <c r="J11" i="14"/>
  <c r="C3" i="20"/>
  <c r="F31" i="4"/>
  <c r="F34" i="4" s="1"/>
  <c r="F26" i="6" s="1"/>
  <c r="E31" i="4"/>
  <c r="B15" i="4"/>
  <c r="C24" i="4" s="1"/>
  <c r="B13" i="10"/>
  <c r="B10" i="13"/>
  <c r="C15" i="4"/>
  <c r="C10" i="13"/>
  <c r="C13" i="10"/>
  <c r="C14" i="10" s="1"/>
  <c r="C6" i="9"/>
  <c r="D6" i="7"/>
  <c r="G15" i="4"/>
  <c r="G10" i="13"/>
  <c r="E112" i="3"/>
  <c r="E116" i="3" s="1"/>
  <c r="E8" i="9"/>
  <c r="F109" i="3"/>
  <c r="D9" i="4"/>
  <c r="D109" i="3"/>
  <c r="F17" i="5"/>
  <c r="G17" i="5" s="1"/>
  <c r="H17" i="5" s="1"/>
  <c r="E63" i="3"/>
  <c r="E34" i="4"/>
  <c r="E9" i="4"/>
  <c r="F15" i="5"/>
  <c r="G15" i="5"/>
  <c r="B63" i="3"/>
  <c r="B109" i="3"/>
  <c r="C22" i="5"/>
  <c r="B26" i="6"/>
  <c r="C18" i="5"/>
  <c r="G26" i="6"/>
  <c r="G17" i="11" s="1"/>
  <c r="G19" i="11" s="1"/>
  <c r="H22" i="5"/>
  <c r="H23" i="5" s="1"/>
  <c r="D26" i="6"/>
  <c r="D17" i="11" s="1"/>
  <c r="E22" i="5"/>
  <c r="E23" i="5" s="1"/>
  <c r="I244" i="3"/>
  <c r="K1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144" i="3"/>
  <c r="L144" i="3" s="1"/>
  <c r="K244" i="3"/>
  <c r="K243" i="3"/>
  <c r="K239" i="3"/>
  <c r="K235" i="3"/>
  <c r="K231" i="3"/>
  <c r="K240" i="3"/>
  <c r="K236" i="3"/>
  <c r="K232" i="3"/>
  <c r="K241" i="3"/>
  <c r="K237" i="3"/>
  <c r="K233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230" i="3"/>
  <c r="I226" i="3"/>
  <c r="I222" i="3"/>
  <c r="I218" i="3"/>
  <c r="I214" i="3"/>
  <c r="I210" i="3"/>
  <c r="I206" i="3"/>
  <c r="I202" i="3"/>
  <c r="I198" i="3"/>
  <c r="I194" i="3"/>
  <c r="I190" i="3"/>
  <c r="I186" i="3"/>
  <c r="I182" i="3"/>
  <c r="I178" i="3"/>
  <c r="I174" i="3"/>
  <c r="I170" i="3"/>
  <c r="I166" i="3"/>
  <c r="I162" i="3"/>
  <c r="I158" i="3"/>
  <c r="I154" i="3"/>
  <c r="I150" i="3"/>
  <c r="I146" i="3"/>
  <c r="K242" i="3"/>
  <c r="I227" i="3"/>
  <c r="I223" i="3"/>
  <c r="I219" i="3"/>
  <c r="I215" i="3"/>
  <c r="I211" i="3"/>
  <c r="I207" i="3"/>
  <c r="I203" i="3"/>
  <c r="I199" i="3"/>
  <c r="I195" i="3"/>
  <c r="I191" i="3"/>
  <c r="I187" i="3"/>
  <c r="I183" i="3"/>
  <c r="I179" i="3"/>
  <c r="I175" i="3"/>
  <c r="I171" i="3"/>
  <c r="I167" i="3"/>
  <c r="I163" i="3"/>
  <c r="I159" i="3"/>
  <c r="I155" i="3"/>
  <c r="I151" i="3"/>
  <c r="I147" i="3"/>
  <c r="K234" i="3"/>
  <c r="I229" i="3"/>
  <c r="I225" i="3"/>
  <c r="I221" i="3"/>
  <c r="I217" i="3"/>
  <c r="I213" i="3"/>
  <c r="I205" i="3"/>
  <c r="I201" i="3"/>
  <c r="I197" i="3"/>
  <c r="I193" i="3"/>
  <c r="I189" i="3"/>
  <c r="I185" i="3"/>
  <c r="I181" i="3"/>
  <c r="I173" i="3"/>
  <c r="I165" i="3"/>
  <c r="I161" i="3"/>
  <c r="I157" i="3"/>
  <c r="K238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I172" i="3"/>
  <c r="I168" i="3"/>
  <c r="I164" i="3"/>
  <c r="I160" i="3"/>
  <c r="I156" i="3"/>
  <c r="I152" i="3"/>
  <c r="I148" i="3"/>
  <c r="I209" i="3"/>
  <c r="I177" i="3"/>
  <c r="I169" i="3"/>
  <c r="I153" i="3"/>
  <c r="I149" i="3"/>
  <c r="I145" i="3"/>
  <c r="C109" i="3"/>
  <c r="C63" i="3"/>
  <c r="E144" i="3"/>
  <c r="C144" i="3"/>
  <c r="F144" i="3" s="1"/>
  <c r="E244" i="3"/>
  <c r="C242" i="3"/>
  <c r="C240" i="3"/>
  <c r="C238" i="3"/>
  <c r="C236" i="3"/>
  <c r="C234" i="3"/>
  <c r="C232" i="3"/>
  <c r="C230" i="3"/>
  <c r="C228" i="3"/>
  <c r="C226" i="3"/>
  <c r="C224" i="3"/>
  <c r="C222" i="3"/>
  <c r="C220" i="3"/>
  <c r="C218" i="3"/>
  <c r="C216" i="3"/>
  <c r="C214" i="3"/>
  <c r="C212" i="3"/>
  <c r="C210" i="3"/>
  <c r="C208" i="3"/>
  <c r="C206" i="3"/>
  <c r="C204" i="3"/>
  <c r="C202" i="3"/>
  <c r="C200" i="3"/>
  <c r="C198" i="3"/>
  <c r="C196" i="3"/>
  <c r="C194" i="3"/>
  <c r="C192" i="3"/>
  <c r="C190" i="3"/>
  <c r="C188" i="3"/>
  <c r="C186" i="3"/>
  <c r="C184" i="3"/>
  <c r="C182" i="3"/>
  <c r="C180" i="3"/>
  <c r="C178" i="3"/>
  <c r="C176" i="3"/>
  <c r="C174" i="3"/>
  <c r="C172" i="3"/>
  <c r="C170" i="3"/>
  <c r="C168" i="3"/>
  <c r="C166" i="3"/>
  <c r="C164" i="3"/>
  <c r="C162" i="3"/>
  <c r="C160" i="3"/>
  <c r="C158" i="3"/>
  <c r="C156" i="3"/>
  <c r="C154" i="3"/>
  <c r="C152" i="3"/>
  <c r="C150" i="3"/>
  <c r="C148" i="3"/>
  <c r="C146" i="3"/>
  <c r="E243" i="3"/>
  <c r="E241" i="3"/>
  <c r="E239" i="3"/>
  <c r="E237" i="3"/>
  <c r="E235" i="3"/>
  <c r="E233" i="3"/>
  <c r="E231" i="3"/>
  <c r="E229" i="3"/>
  <c r="E227" i="3"/>
  <c r="E225" i="3"/>
  <c r="E223" i="3"/>
  <c r="E221" i="3"/>
  <c r="E219" i="3"/>
  <c r="E217" i="3"/>
  <c r="E215" i="3"/>
  <c r="E213" i="3"/>
  <c r="E211" i="3"/>
  <c r="E209" i="3"/>
  <c r="E207" i="3"/>
  <c r="E205" i="3"/>
  <c r="E203" i="3"/>
  <c r="E201" i="3"/>
  <c r="E199" i="3"/>
  <c r="E197" i="3"/>
  <c r="E195" i="3"/>
  <c r="E193" i="3"/>
  <c r="E191" i="3"/>
  <c r="E189" i="3"/>
  <c r="E185" i="3"/>
  <c r="E183" i="3"/>
  <c r="E181" i="3"/>
  <c r="E179" i="3"/>
  <c r="E177" i="3"/>
  <c r="E175" i="3"/>
  <c r="E173" i="3"/>
  <c r="E171" i="3"/>
  <c r="E169" i="3"/>
  <c r="E167" i="3"/>
  <c r="E165" i="3"/>
  <c r="E163" i="3"/>
  <c r="E161" i="3"/>
  <c r="E157" i="3"/>
  <c r="E155" i="3"/>
  <c r="E153" i="3"/>
  <c r="E151" i="3"/>
  <c r="E149" i="3"/>
  <c r="E147" i="3"/>
  <c r="C205" i="3"/>
  <c r="C199" i="3"/>
  <c r="C195" i="3"/>
  <c r="E187" i="3"/>
  <c r="E159" i="3"/>
  <c r="C145" i="3"/>
  <c r="C201" i="3"/>
  <c r="C191" i="3"/>
  <c r="C243" i="3"/>
  <c r="C241" i="3"/>
  <c r="C239" i="3"/>
  <c r="C237" i="3"/>
  <c r="C235" i="3"/>
  <c r="C233" i="3"/>
  <c r="C231" i="3"/>
  <c r="C229" i="3"/>
  <c r="C227" i="3"/>
  <c r="C225" i="3"/>
  <c r="C223" i="3"/>
  <c r="C221" i="3"/>
  <c r="C219" i="3"/>
  <c r="C217" i="3"/>
  <c r="C215" i="3"/>
  <c r="C213" i="3"/>
  <c r="C211" i="3"/>
  <c r="C209" i="3"/>
  <c r="C207" i="3"/>
  <c r="C203" i="3"/>
  <c r="C197" i="3"/>
  <c r="C193" i="3"/>
  <c r="E240" i="3"/>
  <c r="E232" i="3"/>
  <c r="E224" i="3"/>
  <c r="E216" i="3"/>
  <c r="E208" i="3"/>
  <c r="E200" i="3"/>
  <c r="E192" i="3"/>
  <c r="C187" i="3"/>
  <c r="C183" i="3"/>
  <c r="C179" i="3"/>
  <c r="C175" i="3"/>
  <c r="C171" i="3"/>
  <c r="C167" i="3"/>
  <c r="C163" i="3"/>
  <c r="C159" i="3"/>
  <c r="C155" i="3"/>
  <c r="C151" i="3"/>
  <c r="C147" i="3"/>
  <c r="E230" i="3"/>
  <c r="E222" i="3"/>
  <c r="E214" i="3"/>
  <c r="E198" i="3"/>
  <c r="E190" i="3"/>
  <c r="E182" i="3"/>
  <c r="E178" i="3"/>
  <c r="E170" i="3"/>
  <c r="E166" i="3"/>
  <c r="E158" i="3"/>
  <c r="E154" i="3"/>
  <c r="E146" i="3"/>
  <c r="C169" i="3"/>
  <c r="C157" i="3"/>
  <c r="C149" i="3"/>
  <c r="E238" i="3"/>
  <c r="E206" i="3"/>
  <c r="E186" i="3"/>
  <c r="E174" i="3"/>
  <c r="E162" i="3"/>
  <c r="E150" i="3"/>
  <c r="C165" i="3"/>
  <c r="C153" i="3"/>
  <c r="E218" i="3"/>
  <c r="E188" i="3"/>
  <c r="E172" i="3"/>
  <c r="E160" i="3"/>
  <c r="E148" i="3"/>
  <c r="C244" i="3"/>
  <c r="E145" i="3"/>
  <c r="E236" i="3"/>
  <c r="E228" i="3"/>
  <c r="E220" i="3"/>
  <c r="E212" i="3"/>
  <c r="E204" i="3"/>
  <c r="E196" i="3"/>
  <c r="C189" i="3"/>
  <c r="C185" i="3"/>
  <c r="C181" i="3"/>
  <c r="C177" i="3"/>
  <c r="C173" i="3"/>
  <c r="C161" i="3"/>
  <c r="E242" i="3"/>
  <c r="E234" i="3"/>
  <c r="E226" i="3"/>
  <c r="E210" i="3"/>
  <c r="E202" i="3"/>
  <c r="E194" i="3"/>
  <c r="E184" i="3"/>
  <c r="E180" i="3"/>
  <c r="E176" i="3"/>
  <c r="E168" i="3"/>
  <c r="E164" i="3"/>
  <c r="E156" i="3"/>
  <c r="E152" i="3"/>
  <c r="F9" i="4"/>
  <c r="D96" i="14" l="1"/>
  <c r="F97" i="14"/>
  <c r="G29" i="23"/>
  <c r="C4" i="20" s="1"/>
  <c r="B9" i="10"/>
  <c r="B24" i="10" s="1"/>
  <c r="D24" i="10" s="1"/>
  <c r="C12" i="13"/>
  <c r="D14" i="13"/>
  <c r="D17" i="13" s="1"/>
  <c r="C30" i="23"/>
  <c r="E30" i="23"/>
  <c r="B24" i="4"/>
  <c r="B22" i="4"/>
  <c r="B25" i="4" s="1"/>
  <c r="F15" i="4"/>
  <c r="G24" i="4" s="1"/>
  <c r="G15" i="12" s="1"/>
  <c r="F10" i="13"/>
  <c r="C112" i="3"/>
  <c r="C116" i="3" s="1"/>
  <c r="C8" i="9"/>
  <c r="D6" i="14"/>
  <c r="C21" i="12"/>
  <c r="D21" i="12"/>
  <c r="D7" i="14"/>
  <c r="D10" i="14"/>
  <c r="G21" i="12"/>
  <c r="B112" i="3"/>
  <c r="B114" i="3" s="1"/>
  <c r="B8" i="9"/>
  <c r="C6" i="14"/>
  <c r="C15" i="12"/>
  <c r="E15" i="4"/>
  <c r="E10" i="13"/>
  <c r="D112" i="3"/>
  <c r="D116" i="3" s="1"/>
  <c r="H8" i="7" s="1"/>
  <c r="D8" i="9"/>
  <c r="E114" i="3"/>
  <c r="B15" i="12"/>
  <c r="C5" i="14"/>
  <c r="D15" i="4"/>
  <c r="D24" i="4" s="1"/>
  <c r="C7" i="14" s="1"/>
  <c r="D10" i="13"/>
  <c r="B14" i="10"/>
  <c r="D13" i="10"/>
  <c r="D14" i="10" s="1"/>
  <c r="F112" i="3"/>
  <c r="F8" i="9"/>
  <c r="K140" i="3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I140" i="3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I15" i="5"/>
  <c r="E117" i="3"/>
  <c r="E9" i="7" s="1"/>
  <c r="H9" i="7"/>
  <c r="G28" i="6"/>
  <c r="D10" i="7"/>
  <c r="C23" i="5"/>
  <c r="C25" i="5" s="1"/>
  <c r="B36" i="4"/>
  <c r="C5" i="7"/>
  <c r="B116" i="3"/>
  <c r="I17" i="5"/>
  <c r="D7" i="7"/>
  <c r="D28" i="6"/>
  <c r="D5" i="7"/>
  <c r="B27" i="6"/>
  <c r="C25" i="6" s="1"/>
  <c r="C28" i="6" s="1"/>
  <c r="F17" i="11"/>
  <c r="G22" i="5"/>
  <c r="G23" i="5" s="1"/>
  <c r="E26" i="6"/>
  <c r="E17" i="11" s="1"/>
  <c r="F22" i="5"/>
  <c r="F23" i="5" s="1"/>
  <c r="D97" i="14" l="1"/>
  <c r="F98" i="14"/>
  <c r="D117" i="3"/>
  <c r="E8" i="7" s="1"/>
  <c r="I30" i="23"/>
  <c r="D12" i="13"/>
  <c r="E14" i="13"/>
  <c r="E17" i="13" s="1"/>
  <c r="C31" i="23"/>
  <c r="E31" i="23"/>
  <c r="I31" i="23" s="1"/>
  <c r="E24" i="4"/>
  <c r="F24" i="4"/>
  <c r="C9" i="14" s="1"/>
  <c r="F21" i="12"/>
  <c r="F19" i="11"/>
  <c r="D9" i="14"/>
  <c r="C8" i="14"/>
  <c r="E15" i="12"/>
  <c r="F114" i="3"/>
  <c r="F116" i="3"/>
  <c r="E8" i="14"/>
  <c r="D12" i="9"/>
  <c r="E19" i="12" s="1"/>
  <c r="E12" i="9"/>
  <c r="F19" i="12" s="1"/>
  <c r="E9" i="14"/>
  <c r="E21" i="12"/>
  <c r="D8" i="14"/>
  <c r="E19" i="11"/>
  <c r="C114" i="3"/>
  <c r="B19" i="10"/>
  <c r="G11" i="12"/>
  <c r="K10" i="14"/>
  <c r="D114" i="3"/>
  <c r="D15" i="12"/>
  <c r="G8" i="9"/>
  <c r="E118" i="3"/>
  <c r="F9" i="7" s="1"/>
  <c r="J10" i="7"/>
  <c r="G30" i="6"/>
  <c r="D118" i="3"/>
  <c r="J7" i="7"/>
  <c r="D30" i="6"/>
  <c r="G5" i="7"/>
  <c r="F28" i="6"/>
  <c r="D9" i="7"/>
  <c r="J6" i="7"/>
  <c r="C30" i="6"/>
  <c r="D8" i="7"/>
  <c r="E28" i="6"/>
  <c r="H6" i="7"/>
  <c r="B117" i="3"/>
  <c r="E6" i="7" s="1"/>
  <c r="I22" i="5"/>
  <c r="I23" i="5" s="1"/>
  <c r="B7" i="8" s="1"/>
  <c r="H7" i="7"/>
  <c r="C117" i="3"/>
  <c r="E7" i="7" s="1"/>
  <c r="F99" i="14" l="1"/>
  <c r="D98" i="14"/>
  <c r="F15" i="12"/>
  <c r="F14" i="13"/>
  <c r="F17" i="13" s="1"/>
  <c r="E12" i="13"/>
  <c r="G31" i="23"/>
  <c r="E32" i="23"/>
  <c r="C32" i="23"/>
  <c r="B31" i="8" s="1"/>
  <c r="E33" i="23"/>
  <c r="D33" i="8" s="1"/>
  <c r="C10" i="14"/>
  <c r="H15" i="12"/>
  <c r="K9" i="14"/>
  <c r="F11" i="12"/>
  <c r="H10" i="7"/>
  <c r="K10" i="7" s="1"/>
  <c r="F117" i="3"/>
  <c r="B20" i="10"/>
  <c r="B17" i="11" s="1"/>
  <c r="E6" i="14"/>
  <c r="B12" i="9"/>
  <c r="E7" i="14"/>
  <c r="C12" i="9"/>
  <c r="D19" i="12" s="1"/>
  <c r="K8" i="14"/>
  <c r="E11" i="12"/>
  <c r="F7" i="8"/>
  <c r="D11" i="7"/>
  <c r="E120" i="3"/>
  <c r="K7" i="7"/>
  <c r="C118" i="3"/>
  <c r="F7" i="7" s="1"/>
  <c r="B118" i="3"/>
  <c r="F6" i="7" s="1"/>
  <c r="F8" i="7"/>
  <c r="D120" i="3"/>
  <c r="J8" i="7"/>
  <c r="K8" i="7" s="1"/>
  <c r="E30" i="6"/>
  <c r="L5" i="7"/>
  <c r="J9" i="7"/>
  <c r="K9" i="7" s="1"/>
  <c r="F30" i="6"/>
  <c r="K6" i="7"/>
  <c r="D99" i="14" l="1"/>
  <c r="F100" i="14"/>
  <c r="I32" i="23"/>
  <c r="G32" i="23"/>
  <c r="C6" i="20" s="1"/>
  <c r="C5" i="20"/>
  <c r="G14" i="13"/>
  <c r="G17" i="13" s="1"/>
  <c r="G12" i="13" s="1"/>
  <c r="F12" i="13"/>
  <c r="H11" i="7"/>
  <c r="B22" i="10"/>
  <c r="C19" i="12"/>
  <c r="B18" i="11"/>
  <c r="B11" i="13" s="1"/>
  <c r="B21" i="10"/>
  <c r="E10" i="7"/>
  <c r="F118" i="3"/>
  <c r="F10" i="7" s="1"/>
  <c r="B25" i="10"/>
  <c r="C11" i="14"/>
  <c r="F11" i="7"/>
  <c r="E124" i="3"/>
  <c r="E126" i="3" s="1"/>
  <c r="E121" i="3"/>
  <c r="F19" i="4" s="1"/>
  <c r="F16" i="4" s="1"/>
  <c r="F22" i="4" s="1"/>
  <c r="C120" i="3"/>
  <c r="C121" i="3" s="1"/>
  <c r="D19" i="4" s="1"/>
  <c r="J11" i="7"/>
  <c r="M5" i="7"/>
  <c r="D121" i="3"/>
  <c r="E19" i="4" s="1"/>
  <c r="D124" i="3"/>
  <c r="D126" i="3" s="1"/>
  <c r="K11" i="7"/>
  <c r="B120" i="3"/>
  <c r="D100" i="14" l="1"/>
  <c r="F101" i="14"/>
  <c r="G33" i="23"/>
  <c r="C7" i="20"/>
  <c r="F120" i="3"/>
  <c r="F121" i="3" s="1"/>
  <c r="G19" i="4" s="1"/>
  <c r="G16" i="4" s="1"/>
  <c r="G22" i="4" s="1"/>
  <c r="F124" i="3"/>
  <c r="F126" i="3" s="1"/>
  <c r="F12" i="9"/>
  <c r="E10" i="14"/>
  <c r="E11" i="7"/>
  <c r="E11" i="14" s="1"/>
  <c r="B26" i="10"/>
  <c r="B21" i="12"/>
  <c r="D5" i="14"/>
  <c r="C16" i="11"/>
  <c r="C19" i="11" s="1"/>
  <c r="C124" i="3"/>
  <c r="C126" i="3" s="1"/>
  <c r="G25" i="4"/>
  <c r="G36" i="4" s="1"/>
  <c r="B121" i="3"/>
  <c r="C19" i="4" s="1"/>
  <c r="B124" i="3"/>
  <c r="B126" i="3" s="1"/>
  <c r="D16" i="4"/>
  <c r="D22" i="4" s="1"/>
  <c r="E16" i="4"/>
  <c r="E22" i="4" s="1"/>
  <c r="D101" i="14" l="1"/>
  <c r="F102" i="14"/>
  <c r="D13" i="7"/>
  <c r="G18" i="9" s="1"/>
  <c r="D11" i="14"/>
  <c r="G5" i="14"/>
  <c r="M5" i="14" s="1"/>
  <c r="N5" i="14" s="1"/>
  <c r="G19" i="12"/>
  <c r="H19" i="12" s="1"/>
  <c r="G12" i="9"/>
  <c r="B30" i="10"/>
  <c r="H21" i="12"/>
  <c r="B13" i="12"/>
  <c r="C11" i="12"/>
  <c r="K6" i="14"/>
  <c r="E25" i="4"/>
  <c r="F25" i="4"/>
  <c r="D12" i="5"/>
  <c r="C16" i="4"/>
  <c r="C22" i="4" s="1"/>
  <c r="C25" i="4" s="1"/>
  <c r="F103" i="14" l="1"/>
  <c r="D102" i="14"/>
  <c r="B34" i="13"/>
  <c r="B33" i="13" s="1"/>
  <c r="B38" i="13" s="1"/>
  <c r="B7" i="12"/>
  <c r="B31" i="10"/>
  <c r="C9" i="7"/>
  <c r="G9" i="7" s="1"/>
  <c r="L9" i="7" s="1"/>
  <c r="F36" i="4"/>
  <c r="D18" i="5"/>
  <c r="D25" i="5" s="1"/>
  <c r="E12" i="5"/>
  <c r="C8" i="7"/>
  <c r="G8" i="7" s="1"/>
  <c r="L8" i="7" s="1"/>
  <c r="E36" i="4"/>
  <c r="C6" i="7"/>
  <c r="C36" i="4"/>
  <c r="D25" i="4"/>
  <c r="F104" i="14" l="1"/>
  <c r="D103" i="14"/>
  <c r="B23" i="14"/>
  <c r="B5" i="12"/>
  <c r="B24" i="12" s="1"/>
  <c r="B27" i="12" s="1"/>
  <c r="G6" i="7"/>
  <c r="C7" i="7"/>
  <c r="G7" i="7" s="1"/>
  <c r="L7" i="7" s="1"/>
  <c r="D36" i="4"/>
  <c r="E18" i="5"/>
  <c r="E25" i="5" s="1"/>
  <c r="F12" i="5"/>
  <c r="D104" i="14" l="1"/>
  <c r="F105" i="14"/>
  <c r="C23" i="14"/>
  <c r="G23" i="14" s="1"/>
  <c r="C6" i="12"/>
  <c r="B8" i="13"/>
  <c r="B5" i="13" s="1"/>
  <c r="B24" i="13" s="1"/>
  <c r="B6" i="8"/>
  <c r="C10" i="7"/>
  <c r="F18" i="5"/>
  <c r="F25" i="5" s="1"/>
  <c r="G12" i="5"/>
  <c r="L6" i="7"/>
  <c r="D105" i="14" l="1"/>
  <c r="F106" i="14"/>
  <c r="H23" i="14"/>
  <c r="B8" i="8"/>
  <c r="G18" i="5"/>
  <c r="G25" i="5" s="1"/>
  <c r="H12" i="5"/>
  <c r="H18" i="5" s="1"/>
  <c r="H25" i="5" s="1"/>
  <c r="M6" i="7"/>
  <c r="M7" i="7" s="1"/>
  <c r="G10" i="7"/>
  <c r="C11" i="7"/>
  <c r="F107" i="14" l="1"/>
  <c r="D106" i="14"/>
  <c r="E5" i="8"/>
  <c r="C7" i="8"/>
  <c r="C6" i="8"/>
  <c r="C5" i="8"/>
  <c r="G5" i="8"/>
  <c r="G7" i="8"/>
  <c r="I12" i="5"/>
  <c r="I18" i="5" s="1"/>
  <c r="L10" i="7"/>
  <c r="G11" i="7"/>
  <c r="I14" i="7"/>
  <c r="M8" i="7"/>
  <c r="M9" i="7" s="1"/>
  <c r="F108" i="14" l="1"/>
  <c r="D107" i="14"/>
  <c r="I25" i="5"/>
  <c r="C3" i="21"/>
  <c r="C8" i="8"/>
  <c r="D14" i="7"/>
  <c r="M10" i="7"/>
  <c r="D15" i="7"/>
  <c r="L11" i="7"/>
  <c r="D108" i="14" l="1"/>
  <c r="F109" i="14"/>
  <c r="C13" i="21"/>
  <c r="C27" i="13"/>
  <c r="C26" i="13" s="1"/>
  <c r="C31" i="13" s="1"/>
  <c r="D6" i="8"/>
  <c r="F27" i="13"/>
  <c r="F26" i="13" s="1"/>
  <c r="F31" i="13" s="1"/>
  <c r="C5" i="21"/>
  <c r="E27" i="13"/>
  <c r="E26" i="13" s="1"/>
  <c r="E31" i="13" s="1"/>
  <c r="C50" i="21"/>
  <c r="D27" i="13"/>
  <c r="D26" i="13" s="1"/>
  <c r="D31" i="13" s="1"/>
  <c r="G27" i="13"/>
  <c r="G26" i="13" s="1"/>
  <c r="G31" i="13" s="1"/>
  <c r="C29" i="10"/>
  <c r="C15" i="21"/>
  <c r="C34" i="21"/>
  <c r="C23" i="21"/>
  <c r="C38" i="21"/>
  <c r="C24" i="21"/>
  <c r="C17" i="21"/>
  <c r="C12" i="21"/>
  <c r="B22" i="8" s="1"/>
  <c r="C29" i="21"/>
  <c r="C44" i="21"/>
  <c r="C37" i="21"/>
  <c r="C30" i="21"/>
  <c r="C51" i="21"/>
  <c r="C27" i="21"/>
  <c r="C42" i="21"/>
  <c r="C39" i="21"/>
  <c r="C47" i="21"/>
  <c r="C16" i="21"/>
  <c r="C48" i="21"/>
  <c r="C49" i="21"/>
  <c r="C20" i="21"/>
  <c r="C19" i="21"/>
  <c r="C45" i="21"/>
  <c r="C25" i="21"/>
  <c r="C40" i="21"/>
  <c r="C26" i="21"/>
  <c r="C28" i="21"/>
  <c r="C14" i="21"/>
  <c r="C31" i="21"/>
  <c r="C46" i="21"/>
  <c r="C33" i="21"/>
  <c r="C41" i="21"/>
  <c r="C32" i="21"/>
  <c r="C21" i="21"/>
  <c r="C36" i="21"/>
  <c r="C22" i="21"/>
  <c r="C43" i="21"/>
  <c r="C18" i="21"/>
  <c r="C35" i="21"/>
  <c r="B23" i="8"/>
  <c r="B24" i="8"/>
  <c r="B25" i="8"/>
  <c r="B26" i="8"/>
  <c r="B27" i="8"/>
  <c r="B28" i="8"/>
  <c r="B29" i="8"/>
  <c r="B30" i="8"/>
  <c r="D109" i="14" l="1"/>
  <c r="F110" i="14"/>
  <c r="F30" i="8"/>
  <c r="F26" i="8"/>
  <c r="D8" i="8"/>
  <c r="F6" i="8"/>
  <c r="E6" i="8"/>
  <c r="E8" i="8" s="1"/>
  <c r="F28" i="8"/>
  <c r="F24" i="8"/>
  <c r="B32" i="8"/>
  <c r="F32" i="8" s="1"/>
  <c r="B28" i="14"/>
  <c r="C28" i="14" s="1"/>
  <c r="C9" i="12"/>
  <c r="H9" i="12" s="1"/>
  <c r="D29" i="10"/>
  <c r="D17" i="21"/>
  <c r="D38" i="21"/>
  <c r="D23" i="21"/>
  <c r="D24" i="21"/>
  <c r="D35" i="21"/>
  <c r="D14" i="21"/>
  <c r="D45" i="21"/>
  <c r="D28" i="21"/>
  <c r="D41" i="21"/>
  <c r="D48" i="21"/>
  <c r="D12" i="21"/>
  <c r="D36" i="21"/>
  <c r="D21" i="21"/>
  <c r="D20" i="21"/>
  <c r="D31" i="21"/>
  <c r="D51" i="21"/>
  <c r="D34" i="21"/>
  <c r="D19" i="21"/>
  <c r="D37" i="21"/>
  <c r="D44" i="21"/>
  <c r="D42" i="21"/>
  <c r="D27" i="21"/>
  <c r="D43" i="21"/>
  <c r="D50" i="21"/>
  <c r="D29" i="21"/>
  <c r="D49" i="21"/>
  <c r="D32" i="21"/>
  <c r="D15" i="21"/>
  <c r="D26" i="21"/>
  <c r="D33" i="21"/>
  <c r="D40" i="21"/>
  <c r="D25" i="21"/>
  <c r="D39" i="21"/>
  <c r="D46" i="21"/>
  <c r="D18" i="21"/>
  <c r="D47" i="21"/>
  <c r="D30" i="21"/>
  <c r="D13" i="21"/>
  <c r="D22" i="21"/>
  <c r="D16" i="21"/>
  <c r="F111" i="14" l="1"/>
  <c r="D110" i="14"/>
  <c r="E27" i="21"/>
  <c r="G6" i="8"/>
  <c r="G8" i="8" s="1"/>
  <c r="F8" i="8"/>
  <c r="E19" i="21"/>
  <c r="E51" i="21"/>
  <c r="E43" i="21"/>
  <c r="E35" i="21"/>
  <c r="D111" i="14" l="1"/>
  <c r="F112" i="14"/>
  <c r="D4" i="20"/>
  <c r="G28" i="8"/>
  <c r="H28" i="8" s="1"/>
  <c r="D2" i="20"/>
  <c r="G24" i="8"/>
  <c r="D5" i="20"/>
  <c r="G30" i="8"/>
  <c r="H30" i="8" s="1"/>
  <c r="D6" i="20"/>
  <c r="G32" i="8"/>
  <c r="H32" i="8" s="1"/>
  <c r="D3" i="20"/>
  <c r="G26" i="8"/>
  <c r="H26" i="8" s="1"/>
  <c r="D112" i="14" l="1"/>
  <c r="F113" i="14"/>
  <c r="H24" i="8"/>
  <c r="G33" i="8"/>
  <c r="M33" i="8" s="1"/>
  <c r="E6" i="20"/>
  <c r="F10" i="9" s="1"/>
  <c r="G9" i="11"/>
  <c r="G10" i="11" s="1"/>
  <c r="G12" i="11" s="1"/>
  <c r="G14" i="11" s="1"/>
  <c r="G21" i="11" s="1"/>
  <c r="I10" i="14"/>
  <c r="I6" i="14"/>
  <c r="C9" i="11"/>
  <c r="C10" i="11" s="1"/>
  <c r="C12" i="11" s="1"/>
  <c r="C14" i="11" s="1"/>
  <c r="D7" i="20"/>
  <c r="E7" i="20" s="1"/>
  <c r="I7" i="20" s="1"/>
  <c r="E2" i="20"/>
  <c r="B10" i="9" s="1"/>
  <c r="I7" i="14"/>
  <c r="D9" i="11"/>
  <c r="D10" i="11" s="1"/>
  <c r="D12" i="11" s="1"/>
  <c r="D14" i="11" s="1"/>
  <c r="E3" i="20"/>
  <c r="C10" i="9" s="1"/>
  <c r="F9" i="11"/>
  <c r="F10" i="11" s="1"/>
  <c r="F12" i="11" s="1"/>
  <c r="F14" i="11" s="1"/>
  <c r="F21" i="11" s="1"/>
  <c r="E5" i="20"/>
  <c r="E10" i="9" s="1"/>
  <c r="I9" i="14"/>
  <c r="E4" i="20"/>
  <c r="D10" i="9" s="1"/>
  <c r="E9" i="11"/>
  <c r="E10" i="11" s="1"/>
  <c r="E12" i="11" s="1"/>
  <c r="E14" i="11" s="1"/>
  <c r="E21" i="11" s="1"/>
  <c r="I8" i="14"/>
  <c r="D113" i="14" l="1"/>
  <c r="F114" i="14"/>
  <c r="C21" i="11"/>
  <c r="D43" i="10"/>
  <c r="E16" i="12"/>
  <c r="D11" i="9"/>
  <c r="F43" i="10"/>
  <c r="G16" i="12"/>
  <c r="F11" i="9"/>
  <c r="E43" i="10"/>
  <c r="E11" i="9"/>
  <c r="F16" i="12"/>
  <c r="C43" i="10"/>
  <c r="C11" i="9"/>
  <c r="D16" i="12"/>
  <c r="B43" i="10"/>
  <c r="G10" i="9"/>
  <c r="J10" i="9" s="1"/>
  <c r="B11" i="9"/>
  <c r="C16" i="12"/>
  <c r="I11" i="14"/>
  <c r="F115" i="14" l="1"/>
  <c r="D114" i="14"/>
  <c r="C11" i="13"/>
  <c r="D16" i="11"/>
  <c r="D19" i="11" s="1"/>
  <c r="F45" i="10"/>
  <c r="F51" i="10"/>
  <c r="G11" i="9"/>
  <c r="H6" i="14"/>
  <c r="B13" i="9"/>
  <c r="B14" i="9" s="1"/>
  <c r="H7" i="14"/>
  <c r="C13" i="9"/>
  <c r="D17" i="12" s="1"/>
  <c r="D13" i="12" s="1"/>
  <c r="E51" i="10"/>
  <c r="E45" i="10"/>
  <c r="H8" i="14"/>
  <c r="D13" i="9"/>
  <c r="E17" i="12" s="1"/>
  <c r="E13" i="12" s="1"/>
  <c r="H16" i="12"/>
  <c r="C51" i="10"/>
  <c r="C45" i="10"/>
  <c r="H10" i="14"/>
  <c r="F13" i="9"/>
  <c r="G17" i="12" s="1"/>
  <c r="G13" i="12" s="1"/>
  <c r="E13" i="9"/>
  <c r="F17" i="12" s="1"/>
  <c r="F13" i="12" s="1"/>
  <c r="H9" i="14"/>
  <c r="B51" i="10"/>
  <c r="B45" i="10"/>
  <c r="D51" i="10"/>
  <c r="D45" i="10"/>
  <c r="F116" i="14" l="1"/>
  <c r="D115" i="14"/>
  <c r="D21" i="11"/>
  <c r="D11" i="12"/>
  <c r="H11" i="12" s="1"/>
  <c r="K7" i="14"/>
  <c r="K11" i="14" s="1"/>
  <c r="E14" i="9"/>
  <c r="F35" i="13" s="1"/>
  <c r="D14" i="9"/>
  <c r="E35" i="13" s="1"/>
  <c r="F6" i="14"/>
  <c r="H11" i="14"/>
  <c r="L6" i="14"/>
  <c r="L9" i="14"/>
  <c r="F9" i="14"/>
  <c r="G9" i="14" s="1"/>
  <c r="L10" i="14"/>
  <c r="F10" i="14"/>
  <c r="G10" i="14" s="1"/>
  <c r="F7" i="14"/>
  <c r="G7" i="14" s="1"/>
  <c r="C18" i="10"/>
  <c r="C35" i="13"/>
  <c r="D36" i="13" s="1"/>
  <c r="K79" i="10"/>
  <c r="I81" i="10"/>
  <c r="K139" i="10"/>
  <c r="K110" i="10"/>
  <c r="I65" i="10"/>
  <c r="I78" i="10"/>
  <c r="I140" i="10"/>
  <c r="I94" i="10"/>
  <c r="K108" i="10"/>
  <c r="I97" i="10"/>
  <c r="K68" i="10"/>
  <c r="I116" i="10"/>
  <c r="K147" i="10"/>
  <c r="K62" i="10"/>
  <c r="K149" i="10"/>
  <c r="I107" i="10"/>
  <c r="K71" i="10"/>
  <c r="K111" i="10"/>
  <c r="I69" i="10"/>
  <c r="I154" i="10"/>
  <c r="K121" i="10"/>
  <c r="I71" i="10"/>
  <c r="I155" i="10"/>
  <c r="K138" i="10"/>
  <c r="I104" i="10"/>
  <c r="I145" i="10"/>
  <c r="K132" i="10"/>
  <c r="I98" i="10"/>
  <c r="I142" i="10"/>
  <c r="K142" i="10"/>
  <c r="I100" i="10"/>
  <c r="I143" i="10"/>
  <c r="K69" i="10"/>
  <c r="K99" i="10"/>
  <c r="I85" i="10"/>
  <c r="K77" i="10"/>
  <c r="K91" i="10"/>
  <c r="I106" i="10"/>
  <c r="I131" i="10"/>
  <c r="I67" i="10"/>
  <c r="K116" i="10"/>
  <c r="I134" i="10"/>
  <c r="I63" i="10"/>
  <c r="K133" i="10"/>
  <c r="K140" i="10"/>
  <c r="I76" i="10"/>
  <c r="K141" i="10"/>
  <c r="K65" i="10"/>
  <c r="I118" i="10"/>
  <c r="K59" i="10"/>
  <c r="K148" i="10"/>
  <c r="I144" i="10"/>
  <c r="I102" i="10"/>
  <c r="K152" i="10"/>
  <c r="K95" i="10"/>
  <c r="K57" i="10"/>
  <c r="K115" i="10"/>
  <c r="I124" i="10"/>
  <c r="I62" i="10"/>
  <c r="K76" i="10"/>
  <c r="I86" i="10"/>
  <c r="K67" i="10"/>
  <c r="I89" i="10"/>
  <c r="K128" i="10"/>
  <c r="K94" i="10"/>
  <c r="I64" i="10"/>
  <c r="I125" i="10"/>
  <c r="K56" i="10"/>
  <c r="K143" i="10"/>
  <c r="I101" i="10"/>
  <c r="K66" i="10"/>
  <c r="K153" i="10"/>
  <c r="I103" i="10"/>
  <c r="K55" i="10"/>
  <c r="K125" i="10"/>
  <c r="I83" i="10"/>
  <c r="K97" i="10"/>
  <c r="K119" i="10"/>
  <c r="I77" i="10"/>
  <c r="K101" i="10"/>
  <c r="K129" i="10"/>
  <c r="I79" i="10"/>
  <c r="K87" i="10"/>
  <c r="I59" i="10"/>
  <c r="K104" i="10"/>
  <c r="I130" i="10"/>
  <c r="I108" i="10"/>
  <c r="K114" i="10"/>
  <c r="I146" i="10"/>
  <c r="K86" i="10"/>
  <c r="I121" i="10"/>
  <c r="K135" i="10"/>
  <c r="K90" i="10"/>
  <c r="I119" i="10"/>
  <c r="I80" i="10"/>
  <c r="I114" i="10"/>
  <c r="I87" i="10"/>
  <c r="I88" i="10"/>
  <c r="K63" i="10"/>
  <c r="K126" i="10"/>
  <c r="I61" i="10"/>
  <c r="K145" i="10"/>
  <c r="K89" i="10"/>
  <c r="I120" i="10"/>
  <c r="I110" i="10"/>
  <c r="K144" i="10"/>
  <c r="K136" i="10"/>
  <c r="K73" i="10"/>
  <c r="K117" i="10"/>
  <c r="I112" i="10"/>
  <c r="I90" i="10"/>
  <c r="K134" i="10"/>
  <c r="I139" i="10"/>
  <c r="I72" i="10"/>
  <c r="K96" i="10"/>
  <c r="I126" i="10"/>
  <c r="I68" i="10"/>
  <c r="K146" i="10"/>
  <c r="I74" i="10"/>
  <c r="I147" i="10"/>
  <c r="K137" i="10"/>
  <c r="K109" i="10"/>
  <c r="K61" i="10"/>
  <c r="I133" i="10"/>
  <c r="K122" i="10"/>
  <c r="K80" i="10"/>
  <c r="I95" i="10"/>
  <c r="K84" i="10"/>
  <c r="K100" i="10"/>
  <c r="I73" i="10"/>
  <c r="I136" i="10"/>
  <c r="I132" i="10"/>
  <c r="K83" i="10"/>
  <c r="I75" i="10"/>
  <c r="K124" i="10"/>
  <c r="I138" i="10"/>
  <c r="I92" i="10"/>
  <c r="K102" i="10"/>
  <c r="I129" i="10"/>
  <c r="I66" i="10"/>
  <c r="K106" i="10"/>
  <c r="I127" i="10"/>
  <c r="I149" i="10"/>
  <c r="K150" i="10"/>
  <c r="K81" i="10"/>
  <c r="I93" i="10"/>
  <c r="K107" i="10"/>
  <c r="I137" i="10"/>
  <c r="I150" i="10"/>
  <c r="I128" i="10"/>
  <c r="K120" i="10"/>
  <c r="K123" i="10"/>
  <c r="I105" i="10"/>
  <c r="K105" i="10"/>
  <c r="I148" i="10"/>
  <c r="K92" i="10"/>
  <c r="I96" i="10"/>
  <c r="K88" i="10"/>
  <c r="I122" i="10"/>
  <c r="I60" i="10"/>
  <c r="K70" i="10"/>
  <c r="I113" i="10"/>
  <c r="K151" i="10"/>
  <c r="K74" i="10"/>
  <c r="I55" i="10"/>
  <c r="L55" i="10" s="1"/>
  <c r="I117" i="10"/>
  <c r="K82" i="10"/>
  <c r="K72" i="10"/>
  <c r="K154" i="10"/>
  <c r="I82" i="10"/>
  <c r="I151" i="10"/>
  <c r="K75" i="10"/>
  <c r="I99" i="10"/>
  <c r="I135" i="10"/>
  <c r="I111" i="10"/>
  <c r="I56" i="10"/>
  <c r="K118" i="10"/>
  <c r="I152" i="10"/>
  <c r="K60" i="10"/>
  <c r="K131" i="10"/>
  <c r="K155" i="10"/>
  <c r="I57" i="10"/>
  <c r="K98" i="10"/>
  <c r="I109" i="10"/>
  <c r="I115" i="10"/>
  <c r="I91" i="10"/>
  <c r="K130" i="10"/>
  <c r="I123" i="10"/>
  <c r="K93" i="10"/>
  <c r="K103" i="10"/>
  <c r="K112" i="10"/>
  <c r="I141" i="10"/>
  <c r="K85" i="10"/>
  <c r="K78" i="10"/>
  <c r="I153" i="10"/>
  <c r="I84" i="10"/>
  <c r="I70" i="10"/>
  <c r="I58" i="10"/>
  <c r="K64" i="10"/>
  <c r="K127" i="10"/>
  <c r="K113" i="10"/>
  <c r="K58" i="10"/>
  <c r="L8" i="14"/>
  <c r="F8" i="14"/>
  <c r="G8" i="14" s="1"/>
  <c r="C135" i="10"/>
  <c r="C106" i="10"/>
  <c r="C74" i="10"/>
  <c r="C144" i="10"/>
  <c r="C109" i="10"/>
  <c r="C77" i="10"/>
  <c r="E78" i="10"/>
  <c r="E61" i="10"/>
  <c r="E139" i="10"/>
  <c r="E125" i="10"/>
  <c r="C141" i="10"/>
  <c r="C111" i="10"/>
  <c r="C80" i="10"/>
  <c r="C150" i="10"/>
  <c r="C118" i="10"/>
  <c r="C83" i="10"/>
  <c r="E90" i="10"/>
  <c r="E60" i="10"/>
  <c r="E95" i="10"/>
  <c r="E97" i="10"/>
  <c r="C153" i="10"/>
  <c r="C92" i="10"/>
  <c r="C130" i="10"/>
  <c r="C63" i="10"/>
  <c r="E126" i="10"/>
  <c r="E138" i="10"/>
  <c r="E115" i="10"/>
  <c r="E107" i="10"/>
  <c r="C100" i="10"/>
  <c r="C71" i="10"/>
  <c r="E96" i="10"/>
  <c r="E91" i="10"/>
  <c r="C127" i="10"/>
  <c r="C98" i="10"/>
  <c r="C66" i="10"/>
  <c r="C136" i="10"/>
  <c r="C101" i="10"/>
  <c r="C69" i="10"/>
  <c r="E62" i="10"/>
  <c r="E121" i="10"/>
  <c r="E152" i="10"/>
  <c r="E114" i="10"/>
  <c r="C133" i="10"/>
  <c r="C104" i="10"/>
  <c r="C72" i="10"/>
  <c r="C142" i="10"/>
  <c r="C107" i="10"/>
  <c r="C75" i="10"/>
  <c r="E74" i="10"/>
  <c r="E69" i="10"/>
  <c r="E155" i="10"/>
  <c r="E133" i="10"/>
  <c r="C137" i="10"/>
  <c r="C76" i="10"/>
  <c r="C114" i="10"/>
  <c r="E82" i="10"/>
  <c r="E123" i="10"/>
  <c r="E110" i="10"/>
  <c r="E136" i="10"/>
  <c r="E143" i="10"/>
  <c r="C68" i="10"/>
  <c r="E66" i="10"/>
  <c r="E93" i="10"/>
  <c r="E116" i="10"/>
  <c r="C115" i="10"/>
  <c r="C112" i="10"/>
  <c r="C152" i="10"/>
  <c r="C85" i="10"/>
  <c r="E64" i="10"/>
  <c r="E89" i="10"/>
  <c r="C117" i="10"/>
  <c r="C56" i="10"/>
  <c r="C91" i="10"/>
  <c r="E76" i="10"/>
  <c r="E65" i="10"/>
  <c r="C108" i="10"/>
  <c r="C79" i="10"/>
  <c r="E117" i="10"/>
  <c r="E75" i="10"/>
  <c r="C103" i="10"/>
  <c r="E59" i="10"/>
  <c r="C102" i="10"/>
  <c r="C140" i="10"/>
  <c r="C73" i="10"/>
  <c r="E85" i="10"/>
  <c r="E141" i="10"/>
  <c r="E131" i="10"/>
  <c r="E151" i="10"/>
  <c r="C84" i="10"/>
  <c r="E98" i="10"/>
  <c r="E149" i="10"/>
  <c r="C123" i="10"/>
  <c r="E106" i="10"/>
  <c r="C94" i="10"/>
  <c r="E87" i="10"/>
  <c r="E102" i="10"/>
  <c r="C81" i="10"/>
  <c r="E67" i="10"/>
  <c r="E103" i="10"/>
  <c r="C82" i="10"/>
  <c r="E94" i="10"/>
  <c r="C149" i="10"/>
  <c r="C126" i="10"/>
  <c r="E150" i="10"/>
  <c r="C146" i="10"/>
  <c r="E55" i="10"/>
  <c r="C129" i="10"/>
  <c r="C147" i="10"/>
  <c r="C105" i="10"/>
  <c r="E128" i="10"/>
  <c r="E83" i="10"/>
  <c r="C122" i="10"/>
  <c r="E71" i="10"/>
  <c r="E124" i="10"/>
  <c r="C116" i="10"/>
  <c r="E105" i="10"/>
  <c r="C151" i="10"/>
  <c r="C90" i="10"/>
  <c r="C128" i="10"/>
  <c r="C61" i="10"/>
  <c r="E134" i="10"/>
  <c r="E146" i="10"/>
  <c r="C96" i="10"/>
  <c r="C134" i="10"/>
  <c r="C67" i="10"/>
  <c r="E137" i="10"/>
  <c r="E122" i="10"/>
  <c r="C60" i="10"/>
  <c r="E84" i="10"/>
  <c r="E129" i="10"/>
  <c r="E132" i="10"/>
  <c r="E63" i="10"/>
  <c r="E148" i="10"/>
  <c r="C86" i="10"/>
  <c r="C124" i="10"/>
  <c r="C57" i="10"/>
  <c r="E111" i="10"/>
  <c r="E77" i="10"/>
  <c r="E100" i="10"/>
  <c r="E140" i="10"/>
  <c r="C154" i="10"/>
  <c r="E68" i="10"/>
  <c r="E118" i="10"/>
  <c r="C62" i="10"/>
  <c r="E109" i="10"/>
  <c r="C132" i="10"/>
  <c r="C139" i="10"/>
  <c r="E135" i="10"/>
  <c r="E56" i="10"/>
  <c r="C65" i="10"/>
  <c r="E120" i="10"/>
  <c r="C143" i="10"/>
  <c r="C120" i="10"/>
  <c r="E79" i="10"/>
  <c r="C88" i="10"/>
  <c r="C59" i="10"/>
  <c r="E154" i="10"/>
  <c r="E104" i="10"/>
  <c r="E81" i="10"/>
  <c r="C70" i="10"/>
  <c r="E70" i="10"/>
  <c r="E145" i="10"/>
  <c r="C145" i="10"/>
  <c r="E101" i="10"/>
  <c r="C97" i="10"/>
  <c r="E153" i="10"/>
  <c r="C110" i="10"/>
  <c r="E99" i="10"/>
  <c r="C119" i="10"/>
  <c r="E57" i="10"/>
  <c r="E58" i="10"/>
  <c r="E113" i="10"/>
  <c r="C131" i="10"/>
  <c r="C58" i="10"/>
  <c r="C125" i="10"/>
  <c r="E92" i="10"/>
  <c r="E108" i="10"/>
  <c r="C55" i="10"/>
  <c r="F55" i="10" s="1"/>
  <c r="E112" i="10"/>
  <c r="E144" i="10"/>
  <c r="E130" i="10"/>
  <c r="C78" i="10"/>
  <c r="C93" i="10"/>
  <c r="C64" i="10"/>
  <c r="C121" i="10"/>
  <c r="C138" i="10"/>
  <c r="C89" i="10"/>
  <c r="E119" i="10"/>
  <c r="E127" i="10"/>
  <c r="E86" i="10"/>
  <c r="E80" i="10"/>
  <c r="C99" i="10"/>
  <c r="C95" i="10"/>
  <c r="E147" i="10"/>
  <c r="E72" i="10"/>
  <c r="C113" i="10"/>
  <c r="E88" i="10"/>
  <c r="C148" i="10"/>
  <c r="E73" i="10"/>
  <c r="C87" i="10"/>
  <c r="C155" i="10"/>
  <c r="E142" i="10"/>
  <c r="F14" i="9"/>
  <c r="G35" i="13" s="1"/>
  <c r="C14" i="9"/>
  <c r="D35" i="13" s="1"/>
  <c r="C17" i="12"/>
  <c r="G13" i="9"/>
  <c r="D116" i="14" l="1"/>
  <c r="F117" i="14"/>
  <c r="L7" i="14"/>
  <c r="M7" i="14" s="1"/>
  <c r="M9" i="14"/>
  <c r="M10" i="14"/>
  <c r="M8" i="14"/>
  <c r="E36" i="13"/>
  <c r="F36" i="13" s="1"/>
  <c r="G36" i="13" s="1"/>
  <c r="I51" i="10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F122" i="10" s="1"/>
  <c r="F123" i="10" s="1"/>
  <c r="F124" i="10" s="1"/>
  <c r="F125" i="10" s="1"/>
  <c r="F126" i="10" s="1"/>
  <c r="F127" i="10" s="1"/>
  <c r="F128" i="10" s="1"/>
  <c r="F129" i="10" s="1"/>
  <c r="F130" i="10" s="1"/>
  <c r="F131" i="10" s="1"/>
  <c r="F132" i="10" s="1"/>
  <c r="F133" i="10" s="1"/>
  <c r="F134" i="10" s="1"/>
  <c r="F135" i="10" s="1"/>
  <c r="F136" i="10" s="1"/>
  <c r="F137" i="10" s="1"/>
  <c r="F138" i="10" s="1"/>
  <c r="F139" i="10" s="1"/>
  <c r="F140" i="10" s="1"/>
  <c r="F141" i="10" s="1"/>
  <c r="F142" i="10" s="1"/>
  <c r="F143" i="10" s="1"/>
  <c r="F144" i="10" s="1"/>
  <c r="F145" i="10" s="1"/>
  <c r="F146" i="10" s="1"/>
  <c r="F147" i="10" s="1"/>
  <c r="F148" i="10" s="1"/>
  <c r="F149" i="10" s="1"/>
  <c r="F150" i="10" s="1"/>
  <c r="F151" i="10" s="1"/>
  <c r="F152" i="10" s="1"/>
  <c r="F153" i="10" s="1"/>
  <c r="F154" i="10" s="1"/>
  <c r="F155" i="10" s="1"/>
  <c r="K51" i="10"/>
  <c r="L56" i="10" s="1"/>
  <c r="L57" i="10" s="1"/>
  <c r="L58" i="10" s="1"/>
  <c r="L59" i="10" s="1"/>
  <c r="L60" i="10" s="1"/>
  <c r="L61" i="10" s="1"/>
  <c r="L62" i="10" s="1"/>
  <c r="L63" i="10" s="1"/>
  <c r="L64" i="10" s="1"/>
  <c r="L65" i="10" s="1"/>
  <c r="L66" i="10" s="1"/>
  <c r="L67" i="10" s="1"/>
  <c r="L68" i="10" s="1"/>
  <c r="L69" i="10" s="1"/>
  <c r="L70" i="10" s="1"/>
  <c r="L71" i="10" s="1"/>
  <c r="L72" i="10" s="1"/>
  <c r="L73" i="10" s="1"/>
  <c r="L74" i="10" s="1"/>
  <c r="L75" i="10" s="1"/>
  <c r="L76" i="10" s="1"/>
  <c r="L77" i="10" s="1"/>
  <c r="L78" i="10" s="1"/>
  <c r="L79" i="10" s="1"/>
  <c r="L80" i="10" s="1"/>
  <c r="L81" i="10" s="1"/>
  <c r="L82" i="10" s="1"/>
  <c r="L83" i="10" s="1"/>
  <c r="L84" i="10" s="1"/>
  <c r="L85" i="10" s="1"/>
  <c r="L86" i="10" s="1"/>
  <c r="L87" i="10" s="1"/>
  <c r="L88" i="10" s="1"/>
  <c r="L89" i="10" s="1"/>
  <c r="L90" i="10" s="1"/>
  <c r="L91" i="10" s="1"/>
  <c r="L92" i="10" s="1"/>
  <c r="L93" i="10" s="1"/>
  <c r="L94" i="10" s="1"/>
  <c r="L95" i="10" s="1"/>
  <c r="L96" i="10" s="1"/>
  <c r="L97" i="10" s="1"/>
  <c r="L98" i="10" s="1"/>
  <c r="L99" i="10" s="1"/>
  <c r="L100" i="10" s="1"/>
  <c r="L101" i="10" s="1"/>
  <c r="L102" i="10" s="1"/>
  <c r="L103" i="10" s="1"/>
  <c r="L104" i="10" s="1"/>
  <c r="L105" i="10" s="1"/>
  <c r="L106" i="10" s="1"/>
  <c r="L107" i="10" s="1"/>
  <c r="L108" i="10" s="1"/>
  <c r="L109" i="10" s="1"/>
  <c r="L110" i="10" s="1"/>
  <c r="L111" i="10" s="1"/>
  <c r="L112" i="10" s="1"/>
  <c r="L113" i="10" s="1"/>
  <c r="L114" i="10" s="1"/>
  <c r="L115" i="10" s="1"/>
  <c r="L116" i="10" s="1"/>
  <c r="L117" i="10" s="1"/>
  <c r="L118" i="10" s="1"/>
  <c r="L119" i="10" s="1"/>
  <c r="L120" i="10" s="1"/>
  <c r="L121" i="10" s="1"/>
  <c r="L122" i="10" s="1"/>
  <c r="L123" i="10" s="1"/>
  <c r="L124" i="10" s="1"/>
  <c r="L125" i="10" s="1"/>
  <c r="L126" i="10" s="1"/>
  <c r="L127" i="10" s="1"/>
  <c r="L128" i="10" s="1"/>
  <c r="L129" i="10" s="1"/>
  <c r="L130" i="10" s="1"/>
  <c r="L131" i="10" s="1"/>
  <c r="L132" i="10" s="1"/>
  <c r="L133" i="10" s="1"/>
  <c r="L134" i="10" s="1"/>
  <c r="L135" i="10" s="1"/>
  <c r="L136" i="10" s="1"/>
  <c r="L137" i="10" s="1"/>
  <c r="L138" i="10" s="1"/>
  <c r="L139" i="10" s="1"/>
  <c r="L140" i="10" s="1"/>
  <c r="L141" i="10" s="1"/>
  <c r="L142" i="10" s="1"/>
  <c r="L143" i="10" s="1"/>
  <c r="L144" i="10" s="1"/>
  <c r="L145" i="10" s="1"/>
  <c r="L146" i="10" s="1"/>
  <c r="L147" i="10" s="1"/>
  <c r="L148" i="10" s="1"/>
  <c r="L149" i="10" s="1"/>
  <c r="L150" i="10" s="1"/>
  <c r="L151" i="10" s="1"/>
  <c r="L152" i="10" s="1"/>
  <c r="L153" i="10" s="1"/>
  <c r="L154" i="10" s="1"/>
  <c r="L155" i="10" s="1"/>
  <c r="D18" i="10"/>
  <c r="C19" i="10"/>
  <c r="G14" i="9"/>
  <c r="H17" i="12"/>
  <c r="H13" i="12" s="1"/>
  <c r="C13" i="12"/>
  <c r="G6" i="14"/>
  <c r="G11" i="14" s="1"/>
  <c r="F11" i="14"/>
  <c r="D117" i="14" l="1"/>
  <c r="F118" i="14"/>
  <c r="L11" i="14"/>
  <c r="M6" i="14"/>
  <c r="M11" i="14" s="1"/>
  <c r="C20" i="10"/>
  <c r="C22" i="10" s="1"/>
  <c r="D19" i="10"/>
  <c r="G19" i="9"/>
  <c r="G17" i="9"/>
  <c r="F119" i="14" l="1"/>
  <c r="D118" i="14"/>
  <c r="N6" i="14"/>
  <c r="N7" i="14" s="1"/>
  <c r="N8" i="14" s="1"/>
  <c r="N9" i="14" s="1"/>
  <c r="N10" i="14" s="1"/>
  <c r="C25" i="10"/>
  <c r="D22" i="10"/>
  <c r="D20" i="10"/>
  <c r="C21" i="10"/>
  <c r="D21" i="10" s="1"/>
  <c r="F120" i="14" l="1"/>
  <c r="D119" i="14"/>
  <c r="D15" i="14"/>
  <c r="I15" i="14" s="1"/>
  <c r="D14" i="14"/>
  <c r="D13" i="14"/>
  <c r="C26" i="10"/>
  <c r="D25" i="10"/>
  <c r="D120" i="14" l="1"/>
  <c r="F121" i="14"/>
  <c r="C30" i="10"/>
  <c r="D26" i="10"/>
  <c r="D121" i="14" l="1"/>
  <c r="F122" i="14"/>
  <c r="C7" i="12"/>
  <c r="D30" i="10"/>
  <c r="C31" i="10"/>
  <c r="D31" i="10" s="1"/>
  <c r="F123" i="14" l="1"/>
  <c r="D122" i="14"/>
  <c r="E29" i="10"/>
  <c r="E31" i="10"/>
  <c r="E28" i="10"/>
  <c r="E30" i="10"/>
  <c r="G34" i="13"/>
  <c r="G33" i="13" s="1"/>
  <c r="E34" i="13"/>
  <c r="E33" i="13" s="1"/>
  <c r="E38" i="13" s="1"/>
  <c r="D34" i="13"/>
  <c r="D33" i="13" s="1"/>
  <c r="D38" i="13" s="1"/>
  <c r="C34" i="13"/>
  <c r="C33" i="13" s="1"/>
  <c r="C38" i="13" s="1"/>
  <c r="F34" i="13"/>
  <c r="F33" i="13" s="1"/>
  <c r="F38" i="13" s="1"/>
  <c r="B24" i="14"/>
  <c r="H7" i="12"/>
  <c r="H5" i="12" s="1"/>
  <c r="H24" i="12" s="1"/>
  <c r="H27" i="12" s="1"/>
  <c r="H31" i="12" s="1"/>
  <c r="C5" i="12"/>
  <c r="C24" i="12" s="1"/>
  <c r="C27" i="12" s="1"/>
  <c r="D123" i="14" l="1"/>
  <c r="F124" i="14"/>
  <c r="H28" i="12"/>
  <c r="C8" i="13"/>
  <c r="C5" i="13" s="1"/>
  <c r="C24" i="13" s="1"/>
  <c r="I28" i="13" s="1"/>
  <c r="C28" i="12"/>
  <c r="E24" i="14" s="1"/>
  <c r="F24" i="14" s="1"/>
  <c r="D6" i="12"/>
  <c r="D5" i="12" s="1"/>
  <c r="D24" i="12" s="1"/>
  <c r="D27" i="12" s="1"/>
  <c r="C24" i="14"/>
  <c r="C29" i="14" s="1"/>
  <c r="B29" i="14"/>
  <c r="G38" i="13"/>
  <c r="D124" i="14" l="1"/>
  <c r="F125" i="14"/>
  <c r="E6" i="12"/>
  <c r="E5" i="12" s="1"/>
  <c r="E24" i="12" s="1"/>
  <c r="E27" i="12" s="1"/>
  <c r="D8" i="13"/>
  <c r="D5" i="13" s="1"/>
  <c r="D24" i="13" s="1"/>
  <c r="I29" i="13" s="1"/>
  <c r="D28" i="12"/>
  <c r="E25" i="14" s="1"/>
  <c r="D125" i="14" l="1"/>
  <c r="F126" i="14"/>
  <c r="F25" i="14"/>
  <c r="G25" i="14" s="1"/>
  <c r="E28" i="12"/>
  <c r="E26" i="14" s="1"/>
  <c r="F26" i="14" s="1"/>
  <c r="G26" i="14" s="1"/>
  <c r="F6" i="12"/>
  <c r="F5" i="12" s="1"/>
  <c r="F24" i="12" s="1"/>
  <c r="F27" i="12" s="1"/>
  <c r="E8" i="13"/>
  <c r="E5" i="13" s="1"/>
  <c r="E24" i="13" s="1"/>
  <c r="I30" i="13" s="1"/>
  <c r="G24" i="14"/>
  <c r="F127" i="14" l="1"/>
  <c r="D126" i="14"/>
  <c r="F8" i="13"/>
  <c r="F5" i="13" s="1"/>
  <c r="F24" i="13" s="1"/>
  <c r="I31" i="13" s="1"/>
  <c r="F28" i="12"/>
  <c r="E27" i="14" s="1"/>
  <c r="G6" i="12"/>
  <c r="G5" i="12" s="1"/>
  <c r="G24" i="12" s="1"/>
  <c r="G27" i="12" s="1"/>
  <c r="H24" i="14"/>
  <c r="F128" i="14" l="1"/>
  <c r="D127" i="14"/>
  <c r="H25" i="14"/>
  <c r="L33" i="14" s="1"/>
  <c r="G28" i="12"/>
  <c r="E28" i="14" s="1"/>
  <c r="F28" i="14" s="1"/>
  <c r="G28" i="14" s="1"/>
  <c r="G8" i="13"/>
  <c r="G5" i="13" s="1"/>
  <c r="G24" i="13" s="1"/>
  <c r="F27" i="14"/>
  <c r="D128" i="14" l="1"/>
  <c r="F129" i="14"/>
  <c r="E29" i="14"/>
  <c r="G27" i="14"/>
  <c r="F29" i="14"/>
  <c r="D33" i="14"/>
  <c r="J33" i="14" s="1"/>
  <c r="H26" i="14"/>
  <c r="D129" i="14" l="1"/>
  <c r="F130" i="14"/>
  <c r="H27" i="14"/>
  <c r="H28" i="14" s="1"/>
  <c r="D32" i="14" s="1"/>
  <c r="G29" i="14"/>
  <c r="F131" i="14" l="1"/>
  <c r="D130" i="14"/>
  <c r="F132" i="14" l="1"/>
  <c r="D131" i="14"/>
  <c r="D132" i="14" l="1"/>
  <c r="F133" i="14"/>
  <c r="D133" i="14" l="1"/>
  <c r="F134" i="14"/>
  <c r="F135" i="14" l="1"/>
  <c r="D134" i="14"/>
  <c r="D135" i="14" l="1"/>
  <c r="F136" i="14"/>
  <c r="D136" i="14" l="1"/>
  <c r="F137" i="14"/>
  <c r="D137" i="14" l="1"/>
  <c r="F138" i="14"/>
  <c r="F139" i="14" l="1"/>
  <c r="D138" i="14"/>
  <c r="F140" i="14" l="1"/>
  <c r="D139" i="14"/>
  <c r="D140" i="14" l="1"/>
  <c r="F141" i="14"/>
  <c r="D141" i="14" l="1"/>
  <c r="F142" i="14"/>
  <c r="F143" i="14" l="1"/>
  <c r="D143" i="14" s="1"/>
  <c r="D142" i="14"/>
</calcChain>
</file>

<file path=xl/sharedStrings.xml><?xml version="1.0" encoding="utf-8"?>
<sst xmlns="http://schemas.openxmlformats.org/spreadsheetml/2006/main" count="1406" uniqueCount="869">
  <si>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</si>
  <si>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</si>
  <si>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</si>
  <si>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</si>
  <si>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</si>
  <si>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</si>
  <si>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</si>
  <si>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</si>
  <si>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</si>
  <si>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</si>
  <si>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</si>
  <si>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</si>
  <si>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</si>
  <si>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</si>
  <si>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</si>
  <si>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</si>
  <si>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</si>
  <si>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</si>
  <si>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</si>
  <si>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</si>
  <si>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</si>
  <si>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</si>
  <si>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</si>
  <si>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</si>
  <si>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</si>
  <si>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</si>
  <si>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</si>
  <si>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</si>
  <si>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</si>
  <si>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</si>
  <si>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</si>
  <si>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</si>
  <si>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</si>
  <si>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</si>
  <si>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</si>
  <si>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</si>
  <si>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</si>
  <si>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</si>
  <si>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</si>
  <si>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</si>
  <si>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</si>
  <si>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</si>
  <si>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Alario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</si>
  <si>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</si>
  <si>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</si>
  <si>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</si>
  <si>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</si>
  <si>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</si>
  <si>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</si>
  <si>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</si>
  <si>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</si>
  <si>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</si>
  <si>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</si>
  <si>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</si>
  <si>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</si>
  <si>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</si>
  <si>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</si>
  <si>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</si>
  <si>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</si>
  <si>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</si>
  <si>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</si>
  <si>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</si>
  <si>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</si>
  <si>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</si>
  <si>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</si>
  <si>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</si>
  <si>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</si>
  <si>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</si>
  <si>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</si>
  <si>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</si>
  <si>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</si>
  <si>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</si>
  <si>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</si>
  <si>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</si>
  <si>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</si>
  <si>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</si>
  <si>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</si>
  <si>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</si>
  <si>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</si>
  <si>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</si>
  <si>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</si>
  <si>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</si>
  <si>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</si>
  <si>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</si>
  <si>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</si>
  <si>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</si>
  <si>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</si>
  <si>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</si>
  <si>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</si>
  <si>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</si>
  <si>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</si>
  <si>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</si>
  <si>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</si>
  <si>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</si>
  <si>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</si>
  <si>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</si>
  <si>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</si>
  <si>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</si>
  <si>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</si>
  <si>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</si>
  <si>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</si>
  <si>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</si>
  <si>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</si>
  <si>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</si>
  <si>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</si>
  <si>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</si>
  <si>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</si>
  <si>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>Amortizaciones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</si>
  <si>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</si>
  <si>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</si>
  <si>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</si>
  <si>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</si>
  <si>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</si>
  <si>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</si>
  <si>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</si>
  <si>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</si>
  <si>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</si>
  <si>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</si>
  <si>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</si>
  <si>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</si>
  <si>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</si>
  <si>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</si>
  <si>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</si>
  <si>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</si>
  <si>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</si>
  <si>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</si>
  <si>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</si>
  <si>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</si>
  <si>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</si>
  <si>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</si>
  <si>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</si>
  <si>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</si>
  <si>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</si>
  <si>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</si>
  <si>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</si>
  <si>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</si>
  <si>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</si>
  <si>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</si>
  <si>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</si>
  <si>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</si>
  <si>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</si>
  <si>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</si>
  <si>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</si>
  <si>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</si>
  <si>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</si>
  <si>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</si>
  <si>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</si>
  <si>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</si>
  <si>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</si>
  <si>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</si>
  <si>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</si>
  <si>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</si>
  <si>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</si>
  <si>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</si>
  <si>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</si>
  <si>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</si>
  <si>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</si>
  <si>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</si>
  <si>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</si>
  <si>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</si>
  <si>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</si>
  <si>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</si>
  <si>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</si>
  <si>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</si>
  <si>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</si>
  <si>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</si>
  <si>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</si>
  <si>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</si>
  <si>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</si>
  <si>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</si>
  <si>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</si>
  <si>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</si>
  <si>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</si>
  <si>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</si>
  <si>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</si>
  <si>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</si>
  <si>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</si>
  <si>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</si>
  <si>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</si>
  <si>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</si>
  <si>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</si>
  <si>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</si>
  <si>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</si>
  <si>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</si>
  <si>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</si>
  <si>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</si>
  <si>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</si>
  <si>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</si>
  <si>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</si>
  <si>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</si>
  <si>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</si>
  <si>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</si>
  <si>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</si>
  <si>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</si>
  <si>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</si>
  <si>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</si>
  <si>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</si>
  <si>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</si>
  <si>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</si>
  <si>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</si>
  <si>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</si>
  <si>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</si>
  <si>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</si>
  <si>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</si>
  <si>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</si>
  <si>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</si>
  <si>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</si>
  <si>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</si>
  <si>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</si>
  <si>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</si>
  <si>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</si>
  <si>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</si>
  <si>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</si>
  <si>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</si>
  <si>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</si>
  <si>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</si>
  <si>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</si>
  <si>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</si>
  <si>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</si>
  <si>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</si>
  <si>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</si>
  <si>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</si>
  <si>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</si>
  <si>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</si>
  <si>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</si>
  <si>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</si>
  <si>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</si>
  <si>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</si>
  <si>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</si>
  <si>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</si>
  <si>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</si>
  <si>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</si>
  <si>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</si>
  <si>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</si>
  <si>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</si>
  <si>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</si>
  <si>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</si>
  <si>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</si>
  <si>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</si>
  <si>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</si>
  <si>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</si>
  <si>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</si>
  <si>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</si>
  <si>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TIR</t>
  </si>
  <si>
    <t>PRIMERA ESTRUCTURA FINANCIERA</t>
  </si>
  <si>
    <t>Total Inversión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</si>
  <si>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</si>
  <si>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</si>
  <si>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</si>
  <si>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</si>
  <si>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</si>
  <si>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</si>
  <si>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</si>
  <si>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</si>
  <si>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</si>
  <si>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</si>
  <si>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</si>
  <si>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</si>
  <si>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</si>
  <si>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</si>
  <si>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</si>
  <si>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</si>
  <si>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</si>
  <si>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</si>
  <si>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</si>
  <si>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</si>
  <si>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</si>
  <si>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</si>
  <si>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</si>
  <si>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</si>
  <si>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</si>
  <si>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</si>
  <si>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</si>
  <si>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</si>
  <si>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</si>
  <si>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</si>
  <si>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</si>
  <si>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</si>
  <si>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</si>
  <si>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</si>
  <si>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</si>
  <si>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</si>
  <si>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</si>
  <si>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</si>
  <si>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</si>
  <si>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</si>
  <si>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</si>
  <si>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</si>
  <si>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</si>
  <si>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</si>
  <si>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</si>
  <si>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</si>
  <si>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</si>
  <si>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</si>
  <si>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</si>
  <si>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</si>
  <si>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</si>
  <si>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</si>
  <si>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</si>
  <si>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</si>
  <si>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</si>
  <si>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</si>
  <si>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</si>
  <si>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</si>
  <si>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</si>
  <si>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</si>
  <si>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</si>
  <si>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</si>
  <si>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</si>
  <si>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</si>
  <si>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</si>
  <si>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</si>
  <si>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</si>
  <si>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</si>
  <si>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</si>
  <si>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</si>
  <si>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</si>
  <si>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</si>
  <si>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</si>
  <si>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</si>
  <si>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</si>
  <si>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</si>
  <si>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</si>
  <si>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</si>
  <si>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</si>
  <si>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</si>
  <si>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</si>
  <si>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</si>
  <si>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</si>
  <si>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</si>
  <si>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</si>
  <si>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</si>
  <si>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</si>
  <si>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</si>
  <si>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</si>
  <si>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</si>
  <si>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</si>
  <si>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</si>
  <si>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</si>
  <si>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</si>
  <si>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</si>
  <si>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</si>
  <si>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</si>
  <si>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</si>
  <si>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</si>
  <si>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</si>
  <si>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</si>
  <si>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</si>
  <si>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</si>
  <si>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</si>
  <si>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</si>
  <si>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</si>
  <si>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</si>
  <si>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</si>
  <si>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</si>
  <si>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</si>
  <si>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</si>
  <si>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</si>
  <si>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</si>
  <si>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</si>
  <si>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</si>
  <si>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Formulación del Proyecto a Nivel Financiero</t>
  </si>
  <si>
    <t>Activo de Trabajo</t>
  </si>
  <si>
    <t>Utilidad  Antes  HD e IG</t>
  </si>
  <si>
    <t>Intereses Pagados</t>
  </si>
  <si>
    <t>Formulación para el Inversor</t>
  </si>
  <si>
    <t>Aporte de Capital</t>
  </si>
  <si>
    <t>Saldo propio de Fuentes y Usos</t>
  </si>
  <si>
    <t>TOR</t>
  </si>
  <si>
    <t>BARRAS DE PROTEINAS</t>
  </si>
  <si>
    <t>al 27/08/2017</t>
  </si>
  <si>
    <t>http://www.produccion.gob.ar/tramites/rbtparques-61495</t>
  </si>
  <si>
    <t>PDF Banco Nación</t>
  </si>
  <si>
    <t>Maquinaria</t>
  </si>
  <si>
    <t>Precio</t>
  </si>
  <si>
    <t>Cantidad</t>
  </si>
  <si>
    <t>TOTAL</t>
  </si>
  <si>
    <t>Envasadora</t>
  </si>
  <si>
    <t>Cobertora</t>
  </si>
  <si>
    <t>Horno industrial</t>
  </si>
  <si>
    <t>Extrusora</t>
  </si>
  <si>
    <t>Mezcladora</t>
  </si>
  <si>
    <t>https://bdjljx.en.alibaba.com/product/1176469107-212887612/Industrial_electric_multi_cooking_pot.html?spm=a2700.8304367.prsea43447.162.73152c54TMlV6N</t>
  </si>
  <si>
    <t>Precio (U$S)</t>
  </si>
  <si>
    <t>http://www.eganfoodtech.com/extruder-machines</t>
  </si>
  <si>
    <t>Subtotal ($)</t>
  </si>
  <si>
    <t>https://m.spanish.alibaba.com/p-detail/Stainless-steel-rotary-rack-oven-price-60533178768.html</t>
  </si>
  <si>
    <t>http://www.aguiatech.com.br/index.php/home/cobrideiras/cobrimaq-fk100.html</t>
  </si>
  <si>
    <t>http://www.aguiatech.com.br/index.php/produtos/empacotadoras-flowpack/flowpack-ap250.html</t>
  </si>
  <si>
    <t>Exceso de gasto por puesta en marcha</t>
  </si>
  <si>
    <t>Gasto en Productos Terminados</t>
  </si>
  <si>
    <t>Gasto en MCySE</t>
  </si>
  <si>
    <t>Gasto anual</t>
  </si>
  <si>
    <t>Año 2 y 3</t>
  </si>
  <si>
    <t>Año 4 y 5</t>
  </si>
  <si>
    <t>Gastos de Fabricacion en Materiales</t>
  </si>
  <si>
    <t>LOS GASTOS DE MATERIALES SE CONSIDERAN VARIABLES</t>
  </si>
  <si>
    <t>Ejercicio 19</t>
  </si>
  <si>
    <t>Gasto de MCySE</t>
  </si>
  <si>
    <t>Gasto especifico</t>
  </si>
  <si>
    <t>Vehículo</t>
  </si>
  <si>
    <t>Inmobiliario</t>
  </si>
  <si>
    <t>Tasa Municipal</t>
  </si>
  <si>
    <t>Año 2 a 5</t>
  </si>
  <si>
    <t>Gasto por puesta en marcha</t>
  </si>
  <si>
    <t>Gasto por producción o PT</t>
  </si>
  <si>
    <t>Respecto valor de los rodados</t>
  </si>
  <si>
    <t>Impuesto automotor anual</t>
  </si>
  <si>
    <t>Corresponde al area de producción</t>
  </si>
  <si>
    <t>Respecto del inmueble</t>
  </si>
  <si>
    <t>Impuesto inmobiliario anual</t>
  </si>
  <si>
    <t>Tasa municipal anual</t>
  </si>
  <si>
    <t>Gastos de Fabricación en Combustibles</t>
  </si>
  <si>
    <t>Ejercicio 21</t>
  </si>
  <si>
    <t>Gastos de fabricación por Tasas e Impuestos</t>
  </si>
  <si>
    <t>Ejercicio 22</t>
  </si>
  <si>
    <t>Gasto mercaderia en proceso</t>
  </si>
  <si>
    <t>Costo exceso puesta en marcha</t>
  </si>
  <si>
    <t>Gasto Especifico</t>
  </si>
  <si>
    <t>Gasto Anual Total</t>
  </si>
  <si>
    <t>Costo de MP incoporada en MCySE</t>
  </si>
  <si>
    <t>Costo por MP requerida por la produccion realizada</t>
  </si>
  <si>
    <t>Gasto específico</t>
  </si>
  <si>
    <t>Exceso debido a la puesta en marcha</t>
  </si>
  <si>
    <t>Consumo MP en MCySE</t>
  </si>
  <si>
    <t>Gasto Anual Adicional por Mantenimiento</t>
  </si>
  <si>
    <t>Consumo de MP por producto terminado</t>
  </si>
  <si>
    <t>$/h</t>
  </si>
  <si>
    <t>Costo</t>
  </si>
  <si>
    <t>Consumo Total MP</t>
  </si>
  <si>
    <t>Turnos</t>
  </si>
  <si>
    <t>Horas de trabajo por dia</t>
  </si>
  <si>
    <t>Cantidad Operarios</t>
  </si>
  <si>
    <t>dias</t>
  </si>
  <si>
    <t>Dias de trabajo</t>
  </si>
  <si>
    <t>Gasto Anual</t>
  </si>
  <si>
    <t>Gasto Adicional Mantenimiento durante las vacaciones (15 dias)</t>
  </si>
  <si>
    <t>Consumo especifico</t>
  </si>
  <si>
    <t>Producción programada</t>
  </si>
  <si>
    <t>Consumo MP</t>
  </si>
  <si>
    <t>Ejercicio 15</t>
  </si>
  <si>
    <t>Secretaria</t>
  </si>
  <si>
    <t>Gasto en mercaderia en P</t>
  </si>
  <si>
    <t>Mantenimiento</t>
  </si>
  <si>
    <t>Gasto Especifico total</t>
  </si>
  <si>
    <t>Jefe de Producción</t>
  </si>
  <si>
    <t>Gasto variable anual</t>
  </si>
  <si>
    <t>Gasto Especifico variable</t>
  </si>
  <si>
    <t>Encargado de depósito</t>
  </si>
  <si>
    <t>Gasto fijo anual</t>
  </si>
  <si>
    <t>$/Kwh</t>
  </si>
  <si>
    <t>Costo promedio del Kwh</t>
  </si>
  <si>
    <t>Gerente de finanzas</t>
  </si>
  <si>
    <t>Gerente de compras y ventas</t>
  </si>
  <si>
    <t>Gasto en Mercaderia en P</t>
  </si>
  <si>
    <t>Gasto total imputable a producción</t>
  </si>
  <si>
    <t>Gerente general</t>
  </si>
  <si>
    <t>Gasto por producto terminado</t>
  </si>
  <si>
    <t>Gasto Total</t>
  </si>
  <si>
    <t>Gasto mantenimiento</t>
  </si>
  <si>
    <t>Imputabilidad a Producción</t>
  </si>
  <si>
    <t>Cantidad por Turno</t>
  </si>
  <si>
    <t>Cargas Sociales</t>
  </si>
  <si>
    <t>Sueldo Mensual</t>
  </si>
  <si>
    <t>Tipo de Persona Requerido</t>
  </si>
  <si>
    <t>Cargas Sociales MOI</t>
  </si>
  <si>
    <t>Gasto anual de producción</t>
  </si>
  <si>
    <t>Cantidad de meses</t>
  </si>
  <si>
    <t>Ejercicio 18</t>
  </si>
  <si>
    <t>Lo imputable a producción</t>
  </si>
  <si>
    <t>$/Kw instalado</t>
  </si>
  <si>
    <t>Costo fijo por KW instalado</t>
  </si>
  <si>
    <t>kwh</t>
  </si>
  <si>
    <t>Consumo anual de producción</t>
  </si>
  <si>
    <t>Kwh/h</t>
  </si>
  <si>
    <t>Consumo regimen (2 a 5)</t>
  </si>
  <si>
    <t>Kwh/dia</t>
  </si>
  <si>
    <t>Exceso de Gasto por Puesta en Marcha</t>
  </si>
  <si>
    <t>respecto del año 2</t>
  </si>
  <si>
    <t>Consumo y gasto del año 1</t>
  </si>
  <si>
    <t>Kw</t>
  </si>
  <si>
    <t>Potencia Instalada</t>
  </si>
  <si>
    <t>del consumo total</t>
  </si>
  <si>
    <t xml:space="preserve">Se inyecta a producción </t>
  </si>
  <si>
    <t>SE CONSIDERA EL GASTO DE MOD COMO VARIABLE</t>
  </si>
  <si>
    <t>Gasto por Energía electrica adquirida</t>
  </si>
  <si>
    <t>Ejercicio 20</t>
  </si>
  <si>
    <t>Volumen barras MCySE</t>
  </si>
  <si>
    <t>Gasto PT</t>
  </si>
  <si>
    <t>Cantidad barras PT 1er año</t>
  </si>
  <si>
    <t>Cantidad barras al año</t>
  </si>
  <si>
    <t>Año 2-5 (régimen)</t>
  </si>
  <si>
    <t>por cada operario</t>
  </si>
  <si>
    <t>Horas trabajadas al año</t>
  </si>
  <si>
    <t>Estimación tecnologo rendimiento año 1</t>
  </si>
  <si>
    <t>Adicionales</t>
  </si>
  <si>
    <t>exceso de gasto de MOD por puesta en marcha</t>
  </si>
  <si>
    <t>gasto en producto terminados</t>
  </si>
  <si>
    <t>A Amortizar</t>
  </si>
  <si>
    <t>Volumen de MCySE imputable en cada año</t>
  </si>
  <si>
    <t>Amortización por Mercaderia en Curso y Semielaborados (MCySE)</t>
  </si>
  <si>
    <t>Cantidad de secciones operativas</t>
  </si>
  <si>
    <t>Jornal con cargas sociales y adicionales</t>
  </si>
  <si>
    <t>Jornal Básico</t>
  </si>
  <si>
    <t>2 y 3</t>
  </si>
  <si>
    <t>Cantidad de operarios</t>
  </si>
  <si>
    <t>4 y 5</t>
  </si>
  <si>
    <t>Mano de Obra Directa</t>
  </si>
  <si>
    <t>Horas efectivas</t>
  </si>
  <si>
    <t>Horas por día</t>
  </si>
  <si>
    <t>Imputación Especifica (de acuerdo a los producido)</t>
  </si>
  <si>
    <t>Imputación de la amortización de AF en los gastos de Fabricacion</t>
  </si>
  <si>
    <t>Alicuota anuales de amortización</t>
  </si>
  <si>
    <t>Producción</t>
  </si>
  <si>
    <t>Días por semana</t>
  </si>
  <si>
    <t>Ejercicio 16</t>
  </si>
  <si>
    <t>Semanas Operativas</t>
  </si>
  <si>
    <t>Área Producción</t>
  </si>
  <si>
    <t>Ejercicio 17</t>
  </si>
  <si>
    <t>Gastos de Fabricación</t>
  </si>
  <si>
    <t>Gastos del área de producción</t>
  </si>
  <si>
    <t>Tarifa según EDENOR</t>
  </si>
  <si>
    <t>http://www.edenor.com.ar/cms/SP/EMP/ACE/EST_CUA.html</t>
  </si>
  <si>
    <t xml:space="preserve"> </t>
  </si>
  <si>
    <t>Lo restante a las áreas de administración y comercialización</t>
  </si>
  <si>
    <t>Ingreso anual años en régimen</t>
  </si>
  <si>
    <t>Plan de Ventas</t>
  </si>
  <si>
    <t>Ingreso anual año 1</t>
  </si>
  <si>
    <t>Nacional</t>
  </si>
  <si>
    <t>Importados</t>
  </si>
  <si>
    <t>$/unid</t>
  </si>
  <si>
    <t>Imputación específica ($/unid)</t>
  </si>
  <si>
    <t>Limpieza</t>
  </si>
  <si>
    <t>Personal de mantenimiento calificado para maquinarias complejas</t>
  </si>
  <si>
    <t>Los gastos de personal, sin mano de obra directa, son constantes (semifijos, en general). No se prevén
aumentos a través del tiempo por antigüedad a fin de simplificar estos cálculos.</t>
  </si>
  <si>
    <t>Proteina</t>
  </si>
  <si>
    <t>Miel</t>
  </si>
  <si>
    <t>Avena</t>
  </si>
  <si>
    <t>Granola</t>
  </si>
  <si>
    <t>Chocolate</t>
  </si>
  <si>
    <t>Conservantes</t>
  </si>
  <si>
    <t>Del automovil, corresponde a producción</t>
  </si>
  <si>
    <t>De la camioneta, corresponde a producción</t>
  </si>
  <si>
    <t>EXENCIONES PROVINCIALES:
Promoción Industrial Provincial Ley 13.656: El Municipio de Tigre se encuentra adherido a esta Ley Provincial por ordenanza 3125/2010. Toda radicación nueva debe solicitar a la Provincia los beneficios de esta norma previo al inicio de actividades. 
Por un plazo de 3 años, los mismos son:
- Ingresos brutos, Impuesto inmobiliario y patentes de hasta 5 vehículos: exención de 100%</t>
  </si>
  <si>
    <t>Valor camioneta para distribución</t>
  </si>
  <si>
    <t>Mod 2003</t>
  </si>
  <si>
    <t>Agua</t>
  </si>
  <si>
    <t>miel</t>
  </si>
  <si>
    <t>conservante</t>
  </si>
  <si>
    <t>avena</t>
  </si>
  <si>
    <t>granola</t>
  </si>
  <si>
    <t>chocolate</t>
  </si>
  <si>
    <t>proteina</t>
  </si>
  <si>
    <t>Gramos</t>
  </si>
  <si>
    <t>Resumen de cuadro evolución de las mercaderías</t>
  </si>
  <si>
    <t>Unidades</t>
  </si>
  <si>
    <t>Año 2-5</t>
  </si>
  <si>
    <t>Kilos</t>
  </si>
  <si>
    <t>MP</t>
  </si>
  <si>
    <t>SE</t>
  </si>
  <si>
    <t>Total barra</t>
  </si>
  <si>
    <t>Fuel oil</t>
  </si>
  <si>
    <t>litros a razón de</t>
  </si>
  <si>
    <t xml:space="preserve">m3 a razón de </t>
  </si>
  <si>
    <t>$/l</t>
  </si>
  <si>
    <t>https://www.metrogas.com.ar/hogares/paginas/cuadros-tarifarios.aspx</t>
  </si>
  <si>
    <t>$/m3</t>
  </si>
  <si>
    <t xml:space="preserve"> y un cargo fijo anual de </t>
  </si>
  <si>
    <t>Gasto anual, para la camioneta, horno y elementos de calefacción:</t>
  </si>
  <si>
    <t>Gasto en MC y SE</t>
  </si>
  <si>
    <t>del año 2</t>
  </si>
  <si>
    <t xml:space="preserve">* En el año 1 el gasto anual es equivalente al </t>
  </si>
  <si>
    <t>Alicuota anual de repuesto</t>
  </si>
  <si>
    <t>Alicuota sin repuesto (1a3)</t>
  </si>
  <si>
    <t>Gasto puesta en marcha</t>
  </si>
  <si>
    <t>Ejercicio 26</t>
  </si>
  <si>
    <t>Ejercicio 27</t>
  </si>
  <si>
    <t>Gastos de Administración, gastos de personal</t>
  </si>
  <si>
    <t>Gastos de Administración, imputación de armotización de activo fijo</t>
  </si>
  <si>
    <t>Área Administación</t>
  </si>
  <si>
    <t xml:space="preserve">El gasto del año 1 es </t>
  </si>
  <si>
    <t>Imputabilidad a Administración</t>
  </si>
  <si>
    <t>Imputación amortización a Adm</t>
  </si>
  <si>
    <t>ESTE ES UN GASTO CONSTANTE O FIJO</t>
  </si>
  <si>
    <t>Ejercicio 28</t>
  </si>
  <si>
    <t>Gasto anual total</t>
  </si>
  <si>
    <t>Gastos de Administración en Materiales</t>
  </si>
  <si>
    <t>En el año 1 el gasto es el</t>
  </si>
  <si>
    <t>respecto del año 2 y 3</t>
  </si>
  <si>
    <t>ESTE GASTO SE CONSIDERA SEMIFIJO"</t>
  </si>
  <si>
    <t>Ejercicio 29</t>
  </si>
  <si>
    <t>Gastos de Administración, gasto de energía electrica</t>
  </si>
  <si>
    <t>Se considera lo que se imputa a Administración es</t>
  </si>
  <si>
    <t>respecto del gasto total (corresponde a iluminación)</t>
  </si>
  <si>
    <t xml:space="preserve">En el año 1 el gasto es </t>
  </si>
  <si>
    <t>respecto de los otros años en régimen</t>
  </si>
  <si>
    <t>ESTE GASTO SE CONSIDERA CONSTANTE O FIJO</t>
  </si>
  <si>
    <t>Ejercicio 31</t>
  </si>
  <si>
    <t>Gasto de Administración, por gastos varios</t>
  </si>
  <si>
    <t>Viajes y Becas</t>
  </si>
  <si>
    <t>Gastos de oficina</t>
  </si>
  <si>
    <t>Honorarios Profesionales</t>
  </si>
  <si>
    <t>Ejercicio 32</t>
  </si>
  <si>
    <t>Gastos de administración por Tasas e Impuestos</t>
  </si>
  <si>
    <t>Año 1 a 5</t>
  </si>
  <si>
    <t>Tasa municipal imputable a Administración</t>
  </si>
  <si>
    <t>respecto de la tasa municipal de proyecto</t>
  </si>
  <si>
    <t>Tasa de impuesto inmobliario de Adm</t>
  </si>
  <si>
    <t>respecto del impuesto inmobiliario del proyecto</t>
  </si>
  <si>
    <t>ESTE GASTO SE CONSIDERA CONSTANTE( SEMIFIJO EN ESTE CASO)</t>
  </si>
  <si>
    <t>Impuesto del automotor en Adm</t>
  </si>
  <si>
    <t>respecto del impuesto automotor del proyecto</t>
  </si>
  <si>
    <t xml:space="preserve">Impuesto a los sellos </t>
  </si>
  <si>
    <t>respecto a los ingresos anuales en regimen</t>
  </si>
  <si>
    <t>Impuesto a los débitos y créditos bancarios</t>
  </si>
  <si>
    <t>Tasa de impuesto inmobiliario anual</t>
  </si>
  <si>
    <t>Impuesto del automotor</t>
  </si>
  <si>
    <t>ESTOS GASTOS SE CONSIDERAN CONSTANTES (FIJOS)</t>
  </si>
  <si>
    <t>Impuesto a los sellos</t>
  </si>
  <si>
    <t>Total anual</t>
  </si>
  <si>
    <t>Gas Natural</t>
  </si>
  <si>
    <t>Ejercicio 44</t>
  </si>
  <si>
    <t>Años restantes</t>
  </si>
  <si>
    <t>Disponibilidad mínima en caja y bancos</t>
  </si>
  <si>
    <t>del MCyB en régimen</t>
  </si>
  <si>
    <t>respecto de las ventas anuales</t>
  </si>
  <si>
    <t>Plazo de financiación a clientes</t>
  </si>
  <si>
    <t>Stock materiales de producción</t>
  </si>
  <si>
    <t>respecto del año 1 ( y los restantes)</t>
  </si>
  <si>
    <t>meses</t>
  </si>
  <si>
    <t>Stock materiales comer  y adm</t>
  </si>
  <si>
    <t>Años</t>
  </si>
  <si>
    <t>Monto</t>
  </si>
  <si>
    <t>Plazo de financiación a clientes CREDITO POR VENTAS)</t>
  </si>
  <si>
    <t>Stock materia prima</t>
  </si>
  <si>
    <t>Stock MP (periodo de instalación)</t>
  </si>
  <si>
    <t>Stock MP</t>
  </si>
  <si>
    <t>Poteina</t>
  </si>
  <si>
    <t>Periodo de puesta en marcha</t>
  </si>
  <si>
    <t>Stock Promedio año 0</t>
  </si>
  <si>
    <t>kilos</t>
  </si>
  <si>
    <t>barras</t>
  </si>
  <si>
    <t>1 barra 100 g</t>
  </si>
  <si>
    <t>[kg]</t>
  </si>
  <si>
    <t>Ejercicio 35</t>
  </si>
  <si>
    <t>Ejercicio 36</t>
  </si>
  <si>
    <t>Gastos de comercialización, gasto de personal</t>
  </si>
  <si>
    <t>Tipo de personal</t>
  </si>
  <si>
    <t>sueldo mensual</t>
  </si>
  <si>
    <t>cargas sociales</t>
  </si>
  <si>
    <t>cantidad imputada</t>
  </si>
  <si>
    <t>gasto anual</t>
  </si>
  <si>
    <t>gasto anual total</t>
  </si>
  <si>
    <t>Energía electrica</t>
  </si>
  <si>
    <t>Mantenimiento (permanente)</t>
  </si>
  <si>
    <t>Año 2 y 5</t>
  </si>
  <si>
    <t>LOS GASTOS SE CONSIDERAN CONSTANTES (SEMIFIJOS)</t>
  </si>
  <si>
    <t>Ejercicio 38</t>
  </si>
  <si>
    <t>Ejercicio 39</t>
  </si>
  <si>
    <t>Gastos de comercialización, gastos de materiales</t>
  </si>
  <si>
    <t>Gastos comercialización, gastos varios</t>
  </si>
  <si>
    <t>Costo cada flete</t>
  </si>
  <si>
    <t>Gastos anuales</t>
  </si>
  <si>
    <t>Gasto anuales</t>
  </si>
  <si>
    <t>Honorarios profesionales</t>
  </si>
  <si>
    <t>*Honorarios profesionales por distintas consultas a través del año.</t>
  </si>
  <si>
    <t>Pasajes y estadia</t>
  </si>
  <si>
    <t>Gastos de oficina varios</t>
  </si>
  <si>
    <t>*internet, telefono</t>
  </si>
  <si>
    <t>LOS GASTOS VARIABLES SON EL FLETE ENTRE LOS AÑOS 2 A 5, Y EL RESTO ES CONSTANTE, LOS GASTOS EN EL AÑO 1 SON CONSTATNES YA QUE NO INCLUYEN FLETE</t>
  </si>
  <si>
    <t>Mantenimiento de bienes de uso requiere el</t>
  </si>
  <si>
    <t>de su valor por año</t>
  </si>
  <si>
    <t>Publicidad especializada</t>
  </si>
  <si>
    <t>del total</t>
  </si>
  <si>
    <t>Flete</t>
  </si>
  <si>
    <t>*Ya tenemos una camioneta propia que realiza los repartos</t>
  </si>
  <si>
    <t>Gasto varios total</t>
  </si>
  <si>
    <t>*El flete de los desperdicios es por cuenta de quien los retire.</t>
  </si>
  <si>
    <t>Se gasta en concepto de papelería y útiles de oficina</t>
  </si>
  <si>
    <t xml:space="preserve">por cada </t>
  </si>
  <si>
    <t>vendidas</t>
  </si>
  <si>
    <t xml:space="preserve">Artículos de tocador, higiene y limpieza gastan el equivalente de </t>
  </si>
  <si>
    <t>de sueldos</t>
  </si>
  <si>
    <t>En empaque y embalaje se gasta en etiquetas, papeles y cajas</t>
  </si>
  <si>
    <t>por cada</t>
  </si>
  <si>
    <t>Mantenimiento Bs Uso</t>
  </si>
  <si>
    <t>Papelería y útiles de oficina</t>
  </si>
  <si>
    <t>Artículos de limpieza</t>
  </si>
  <si>
    <t>Empaque y embalaje</t>
  </si>
  <si>
    <t>Ejercicio 40</t>
  </si>
  <si>
    <t>Gastos de comercialización, tasas e impuestos</t>
  </si>
  <si>
    <t>Impuestos sobre ingresos brutos</t>
  </si>
  <si>
    <t>Total por impuestos</t>
  </si>
  <si>
    <t>Impuesto sobre ingresos brutos</t>
  </si>
  <si>
    <t>Del cuadro de evolución de mercaderias</t>
  </si>
  <si>
    <t>Stock Promedio de Elaborados</t>
  </si>
  <si>
    <t>Incremeto de IVA</t>
  </si>
  <si>
    <t>Mercadería en proceso</t>
  </si>
  <si>
    <t>E Electrica</t>
  </si>
  <si>
    <t>Incrementos</t>
  </si>
  <si>
    <t>Stock de elaborados</t>
  </si>
  <si>
    <t>Incremento</t>
  </si>
  <si>
    <t>ejercicio 44b</t>
  </si>
  <si>
    <t>Stock Promedio elaborados</t>
  </si>
  <si>
    <t>Cantidad Unidades</t>
  </si>
  <si>
    <t>DIAGRAMA DE PUNTO DE EQUILIBRIO PARA EL AÑO 1 Y PARA EL AÑO 5</t>
  </si>
  <si>
    <t xml:space="preserve">costos variables totales </t>
  </si>
  <si>
    <t>costos constantes totales</t>
  </si>
  <si>
    <t>Ventas</t>
  </si>
  <si>
    <t>Costo Fijo</t>
  </si>
  <si>
    <t>Ingresos</t>
  </si>
  <si>
    <t>Costo Total</t>
  </si>
  <si>
    <t>Costo Variable</t>
  </si>
  <si>
    <t>Estos gastos, según el tecnólogo, corresponden a:</t>
  </si>
  <si>
    <t>anual del valor de los bienes de uso (sin repuestos)</t>
  </si>
  <si>
    <t>anual de la maquinaria</t>
  </si>
  <si>
    <t>anual del gasto de materia prima</t>
  </si>
  <si>
    <t>anual de gasto del personal total en área de producción</t>
  </si>
  <si>
    <t>Del año 4 al 5 se incremetan en un</t>
  </si>
  <si>
    <t>los gastos relacionados con el mantenimiento y consumo de repuestos</t>
  </si>
  <si>
    <t>Año 1 =</t>
  </si>
  <si>
    <t>PRI</t>
  </si>
  <si>
    <t xml:space="preserve">Años     ---&gt; </t>
  </si>
  <si>
    <t>Considerando:</t>
  </si>
  <si>
    <t>Mantenimiento:</t>
  </si>
  <si>
    <t>del valor de los bieness de uso del área, que representan de los bienes de uso totales un</t>
  </si>
  <si>
    <t>Papelería y útiles</t>
  </si>
  <si>
    <t>del costo de produccón anual (año 2/10)</t>
  </si>
  <si>
    <t>Artículos de tocador y limpieza equivalente a</t>
  </si>
  <si>
    <t>de los sueldos</t>
  </si>
  <si>
    <t>En el año 1  el gasto es el</t>
  </si>
  <si>
    <t>Papeleria y útiles</t>
  </si>
  <si>
    <t>Artículos de tocador y limp.</t>
  </si>
  <si>
    <t>Gastos de comercialización</t>
  </si>
  <si>
    <t>Ejercicio 30</t>
  </si>
  <si>
    <t>Gastos de administración en combustibles</t>
  </si>
  <si>
    <t>El área de administración utiliza la camioneta para algunas tareas, que consume gas oil, y aparatos de calefacción que requieren gas natural</t>
  </si>
  <si>
    <t>El gasto del año 1 es el </t>
  </si>
  <si>
    <t>GN</t>
  </si>
  <si>
    <t>m3 a razón de </t>
  </si>
  <si>
    <t> y un cargo fijo anual de </t>
  </si>
  <si>
    <t>Dividimos para calcular el 1%, y despues ir sumando lo acumulado a costo variable</t>
  </si>
  <si>
    <t>* lo dividimos por 10, ya que hay 10 unidades en 1kg</t>
  </si>
  <si>
    <t>v</t>
  </si>
  <si>
    <t>f</t>
  </si>
  <si>
    <t>Stock Materiales</t>
  </si>
  <si>
    <t xml:space="preserve">Año 2 a 5 </t>
  </si>
  <si>
    <t xml:space="preserve">Período de recupero de la inversión:  </t>
  </si>
  <si>
    <t>2 AÑOS</t>
  </si>
  <si>
    <t>DIAS</t>
  </si>
  <si>
    <t>e) Recupero de Credito Fiscal</t>
  </si>
  <si>
    <t>Links con precios:</t>
  </si>
  <si>
    <t>Se suma un 5% para repuestos</t>
  </si>
  <si>
    <t>(consulta Via mail)</t>
  </si>
  <si>
    <t>(consulta via mail)</t>
  </si>
  <si>
    <t xml:space="preserve"> ------&gt;</t>
  </si>
  <si>
    <t>Según ejercicio de Evolución de Stock y Ventas</t>
  </si>
  <si>
    <t>Mano de Obra Indirecta (producción)</t>
  </si>
  <si>
    <t>ENEGÍA ELÉCTRICA SE CONSIDERA GASTO VARIABLE</t>
  </si>
  <si>
    <t>Conservante</t>
  </si>
  <si>
    <t>LOS GASTOS DE TASAS E IMPUESTOS SE CONSIDERAN CONSTANTES (FIJOS) PARA SIMPLIFICAR CÁLCULOS. Sin embargo, a tener en cuenta:</t>
  </si>
  <si>
    <t>cantidad por turnos</t>
  </si>
  <si>
    <t>Créditos</t>
  </si>
  <si>
    <t>31/12/5</t>
  </si>
  <si>
    <t>Credito No Renovable</t>
  </si>
  <si>
    <t>Instituto otorgante:</t>
  </si>
  <si>
    <t>Destino:</t>
  </si>
  <si>
    <t>Importe de la inversión:</t>
  </si>
  <si>
    <t>Monto del crédito:</t>
  </si>
  <si>
    <t>Amortización:</t>
  </si>
  <si>
    <t>Intereses:</t>
  </si>
  <si>
    <t xml:space="preserve">Comisiones y gastos bancarios: </t>
  </si>
  <si>
    <t>serán el 2% del crédito para este destino</t>
  </si>
  <si>
    <t>Cuota</t>
  </si>
  <si>
    <t>1/6/-1</t>
  </si>
  <si>
    <t>1/9/-1</t>
  </si>
  <si>
    <t>1/12/-1</t>
  </si>
  <si>
    <t>31/12/-1</t>
  </si>
  <si>
    <t>1/1/1</t>
  </si>
  <si>
    <t>30/6/1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</si>
  <si>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</si>
  <si>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</si>
  <si>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</si>
  <si>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</si>
  <si>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</si>
  <si>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</si>
  <si>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</si>
  <si>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</si>
  <si>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Credito Renovable</t>
  </si>
  <si>
    <t>Monto del crédito</t>
  </si>
  <si>
    <t>Tasa de pago a 45 días</t>
  </si>
  <si>
    <t xml:space="preserve">Intereses anuales </t>
  </si>
  <si>
    <t>Tasa anual</t>
  </si>
  <si>
    <t>Compras hechas cada 45 días</t>
  </si>
  <si>
    <t>cada 45 días</t>
  </si>
  <si>
    <t>15/2/1</t>
  </si>
  <si>
    <t>1/4/1</t>
  </si>
  <si>
    <t>15/5/1</t>
  </si>
  <si>
    <t>1/7/1</t>
  </si>
  <si>
    <t>15/8/1</t>
  </si>
  <si>
    <t>1/10/1</t>
  </si>
  <si>
    <t>15/11/1</t>
  </si>
  <si>
    <t>1/1/2</t>
  </si>
  <si>
    <t>15/2/2</t>
  </si>
  <si>
    <t>1/4/2</t>
  </si>
  <si>
    <t>15/5/2</t>
  </si>
  <si>
    <t>1/7/2</t>
  </si>
  <si>
    <t>15/8/2</t>
  </si>
  <si>
    <t>1/10/2</t>
  </si>
  <si>
    <t>15/11/2</t>
  </si>
  <si>
    <t>1/1/3</t>
  </si>
  <si>
    <t>15/2/3</t>
  </si>
  <si>
    <t>1/4/3</t>
  </si>
  <si>
    <t>15/5/3</t>
  </si>
  <si>
    <t>1/7/3</t>
  </si>
  <si>
    <t>15/8/3</t>
  </si>
  <si>
    <t>1/10/3</t>
  </si>
  <si>
    <t>15/11/3</t>
  </si>
  <si>
    <t>1/1/4</t>
  </si>
  <si>
    <t>15/2/4</t>
  </si>
  <si>
    <t>1/4/4</t>
  </si>
  <si>
    <t>15/5/4</t>
  </si>
  <si>
    <t>1/7/4</t>
  </si>
  <si>
    <t>15/8/4</t>
  </si>
  <si>
    <t>1/10/4</t>
  </si>
  <si>
    <t>15/11/4</t>
  </si>
  <si>
    <t>1/1/5</t>
  </si>
  <si>
    <t>15/2/5</t>
  </si>
  <si>
    <t>1/4/5</t>
  </si>
  <si>
    <t>15/5/5</t>
  </si>
  <si>
    <t>1/7/5</t>
  </si>
  <si>
    <t>15/8/5</t>
  </si>
  <si>
    <t>1/10/5</t>
  </si>
  <si>
    <t>15/11/5</t>
  </si>
  <si>
    <t>Amortizaciones int Y gastos preoperativos</t>
  </si>
  <si>
    <t>Intereses CNR</t>
  </si>
  <si>
    <t>Intereses CR</t>
  </si>
  <si>
    <t>Total Gasto financiero</t>
  </si>
  <si>
    <t>Menos</t>
  </si>
  <si>
    <t>Gasto financiero</t>
  </si>
  <si>
    <t>BN inv</t>
  </si>
  <si>
    <t>BN puro</t>
  </si>
  <si>
    <t>BN mod</t>
  </si>
  <si>
    <t>Totales Valor Contable Activo de Trabajo, c/IVA</t>
  </si>
  <si>
    <t>Total Inversión Activo de Trabajo, c/ IVA</t>
  </si>
  <si>
    <t>b) IVA Diferencia (DF)</t>
  </si>
  <si>
    <t xml:space="preserve">c) Crédito Fiscal Anterior </t>
  </si>
  <si>
    <t>Créditos renovables</t>
  </si>
  <si>
    <t>PRI mod</t>
  </si>
  <si>
    <t>[años]          ---&gt;</t>
  </si>
  <si>
    <t>TIR mod</t>
  </si>
  <si>
    <t>PRI inv</t>
  </si>
  <si>
    <t>Financiar el</t>
  </si>
  <si>
    <t>del Activo Fijo</t>
  </si>
  <si>
    <t xml:space="preserve">Período de Recupero de la Inversión en </t>
  </si>
  <si>
    <t>Años y</t>
  </si>
  <si>
    <t>Dias</t>
  </si>
  <si>
    <t xml:space="preserve">Período de Recupero de la Inversión para el Inversor en </t>
  </si>
  <si>
    <t xml:space="preserve">Años y </t>
  </si>
  <si>
    <t>16% Anual, Sistema Aleman Vencido</t>
  </si>
  <si>
    <t>6 cuotas Semestrales ; Periodo de Gracia: 24 meses.</t>
  </si>
  <si>
    <t>Banco Nación</t>
  </si>
  <si>
    <t>Van (i) inversor</t>
  </si>
  <si>
    <t>Van mod (i)</t>
  </si>
  <si>
    <t>Tasa</t>
  </si>
  <si>
    <t>E(0)</t>
  </si>
  <si>
    <t>Saldos netos nominales</t>
  </si>
  <si>
    <t>Saldos netos actualizados</t>
  </si>
  <si>
    <t>Tasa Kcap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</si>
</sst>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3" formatCode="_-* #,##0.00\ _€_-;\-* #,##0.00\ _€_-;_-* &quot;-&quot;??\ _€_-;_-@_-"/>
    <numFmt numFmtId="164" formatCode="&quot;$&quot;\ #,##0.00;&quot;$&quot;\ \-#,##0.00"/>
    <numFmt numFmtId="165" formatCode="_ &quot;$&quot;\ * #,##0_ ;_ &quot;$&quot;\ * \-#,##0_ ;_ &quot;$&quot;\ * &quot;-&quot;_ ;_ @_ 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0.00\ %"/>
    <numFmt numFmtId="171" formatCode="_(\$* #,##0.00_);_(\$* \(#,##0.00\);_(\$* \-??_);_(@_)"/>
    <numFmt numFmtId="172" formatCode="0.0"/>
    <numFmt numFmtId="173" formatCode="0.000"/>
    <numFmt numFmtId="174" formatCode="_(* #,##0.00_);_(* \(#,##0.00\);_(* \-??_);_(@_)"/>
    <numFmt numFmtId="175" formatCode="d&quot; de &quot;mmm&quot; de &quot;yy"/>
    <numFmt numFmtId="176" formatCode="_-[$$-2C0A]* #,##0.00_-;\-[$$-2C0A]* #,##0.00_-;_-[$$-2C0A]* &quot;-&quot;??_-;_-@_-"/>
    <numFmt numFmtId="177" formatCode="&quot;$&quot;#,##0.00"/>
    <numFmt numFmtId="178" formatCode="_(* #,##0_);_(* \(#,##0\);_(* \-??_);_(@_)"/>
    <numFmt numFmtId="179" formatCode="&quot;$&quot;#,##0"/>
    <numFmt numFmtId="180" formatCode="0.0%"/>
    <numFmt numFmtId="181" formatCode="_ * #,##0_ ;_ * \-#,##0_ ;_ * &quot;-&quot;??_ ;_ @_ "/>
    <numFmt numFmtId="182" formatCode="_(\$* #,##0.0_);_(\$* \(#,##0.0\);_(\$* \-??_);_(@_)"/>
    <numFmt numFmtId="183" formatCode="_(\$* #,##0_);_(\$* \(#,##0\);_(\$* \-??_);_(@_)"/>
    <numFmt numFmtId="184" formatCode="_(* #,##0.0_);_(* \(#,##0.0\);_(* \-??_);_(@_)"/>
    <numFmt numFmtId="185" formatCode="&quot;$&quot;\ #,##0.00"/>
    <numFmt numFmtId="186" formatCode="&quot;$&quot;\ #,##0"/>
    <numFmt numFmtId="187" formatCode="&quot;$&quot;#,##0.0"/>
    <numFmt numFmtId="188" formatCode="&quot;$&quot;#,##0.000"/>
    <numFmt numFmtId="189" formatCode="_(\$* #,##0.000_);_(\$* \(#,##0.000\);_(\$* \-??_);_(@_)"/>
    <numFmt numFmtId="190" formatCode="_-* #,##0_-;\-* #,##0_-;_-* &quot;-&quot;??_-;_-@_-"/>
    <numFmt numFmtId="191" formatCode="_ &quot;$&quot;\ * #,##0.0000_ ;_ &quot;$&quot;\ * \-#,##0.0000_ ;_ &quot;$&quot;\ * &quot;-&quot;_ ;_ @_ "/>
  </numFmts>
  <fonts count="46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sz val="12"/>
      <name val="Calibri"/>
      <family val="2"/>
      <scheme val="minor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u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Symbol"/>
      <family val="1"/>
      <charset val="2"/>
    </font>
  </fonts>
  <fills count="3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E7E6E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3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33"/>
      </left>
      <right style="thin">
        <color rgb="FF333333"/>
      </right>
      <top/>
      <bottom style="hair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hair">
        <color rgb="FF333333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 style="hair">
        <color rgb="FF333333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hair">
        <color indexed="59"/>
      </bottom>
      <diagonal/>
    </border>
    <border>
      <left style="thin">
        <color rgb="FF333333"/>
      </left>
      <right style="medium">
        <color indexed="64"/>
      </right>
      <top style="hair">
        <color rgb="FF333333"/>
      </top>
      <bottom style="hair">
        <color rgb="FF333333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medium">
        <color indexed="64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 style="medium">
        <color indexed="64"/>
      </top>
      <bottom style="hair">
        <color indexed="59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hair">
        <color rgb="FF333333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59"/>
      </bottom>
      <diagonal/>
    </border>
    <border>
      <left style="medium">
        <color indexed="64"/>
      </left>
      <right/>
      <top style="hair">
        <color indexed="59"/>
      </top>
      <bottom style="hair">
        <color indexed="59"/>
      </bottom>
      <diagonal/>
    </border>
    <border>
      <left style="medium">
        <color indexed="64"/>
      </left>
      <right/>
      <top style="hair">
        <color indexed="59"/>
      </top>
      <bottom style="medium">
        <color indexed="64"/>
      </bottom>
      <diagonal/>
    </border>
    <border>
      <left style="medium">
        <color indexed="64"/>
      </left>
      <right style="thin">
        <color rgb="FF333333"/>
      </right>
      <top style="medium">
        <color indexed="64"/>
      </top>
      <bottom style="hair">
        <color rgb="FF333333"/>
      </bottom>
      <diagonal/>
    </border>
    <border>
      <left style="medium">
        <color indexed="64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medium">
        <color indexed="64"/>
      </left>
      <right style="thin">
        <color rgb="FF333333"/>
      </right>
      <top style="hair">
        <color rgb="FF33333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333333"/>
      </right>
      <top style="medium">
        <color rgb="FF000000"/>
      </top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medium">
        <color rgb="FF000000"/>
      </top>
      <bottom style="medium">
        <color rgb="FF000000"/>
      </bottom>
      <diagonal/>
    </border>
    <border>
      <left/>
      <right style="thin">
        <color rgb="FF333333"/>
      </right>
      <top/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33333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33333"/>
      </right>
      <top style="medium">
        <color indexed="64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333333"/>
      </bottom>
      <diagonal/>
    </border>
    <border>
      <left style="thin">
        <color rgb="FF333333"/>
      </left>
      <right/>
      <top/>
      <bottom style="hair">
        <color rgb="FF333333"/>
      </bottom>
      <diagonal/>
    </border>
    <border>
      <left style="medium">
        <color indexed="64"/>
      </left>
      <right style="medium">
        <color indexed="64"/>
      </right>
      <top/>
      <bottom style="hair">
        <color rgb="FF333333"/>
      </bottom>
      <diagonal/>
    </border>
    <border>
      <left/>
      <right/>
      <top/>
      <bottom style="hair">
        <color rgb="FF333333"/>
      </bottom>
      <diagonal/>
    </border>
    <border>
      <left style="thin">
        <color rgb="FF333333"/>
      </left>
      <right style="medium">
        <color indexed="64"/>
      </right>
      <top/>
      <bottom style="hair">
        <color rgb="FF333333"/>
      </bottom>
      <diagonal/>
    </border>
    <border>
      <left style="medium">
        <color rgb="FF000000"/>
      </left>
      <right style="medium">
        <color rgb="FF000000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/>
      <top style="hair">
        <color rgb="FF333333"/>
      </top>
      <bottom style="hair">
        <color rgb="FF333333"/>
      </bottom>
      <diagonal/>
    </border>
    <border>
      <left style="medium">
        <color rgb="FF000000"/>
      </left>
      <right style="medium">
        <color rgb="FF000000"/>
      </right>
      <top style="hair">
        <color rgb="FF333333"/>
      </top>
      <bottom style="medium">
        <color rgb="FF000000"/>
      </bottom>
      <diagonal/>
    </border>
    <border>
      <left style="thin">
        <color rgb="FF333333"/>
      </left>
      <right/>
      <top style="hair">
        <color rgb="FF333333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rgb="FF333333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 style="medium">
        <color indexed="64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/>
      <bottom style="hair">
        <color indexed="59"/>
      </bottom>
      <diagonal/>
    </border>
    <border>
      <left/>
      <right style="thin">
        <color indexed="59"/>
      </right>
      <top style="medium">
        <color indexed="64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medium">
        <color indexed="64"/>
      </bottom>
      <diagonal/>
    </border>
    <border>
      <left/>
      <right style="thin">
        <color rgb="FF333333"/>
      </right>
      <top style="hair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5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59"/>
      </bottom>
      <diagonal/>
    </border>
    <border>
      <left style="medium">
        <color indexed="64"/>
      </left>
      <right style="medium">
        <color indexed="64"/>
      </right>
      <top style="hair">
        <color indexed="59"/>
      </top>
      <bottom style="hair">
        <color indexed="59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333333"/>
      </right>
      <top/>
      <bottom style="hair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double">
        <color rgb="FF333333"/>
      </left>
      <right style="thin">
        <color rgb="FF333333"/>
      </right>
      <top style="double">
        <color rgb="FF333333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hair">
        <color rgb="FF333333"/>
      </bottom>
      <diagonal/>
    </border>
    <border>
      <left style="double">
        <color rgb="FF333333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double">
        <color rgb="FF333333"/>
      </right>
      <top style="hair">
        <color rgb="FF333333"/>
      </top>
      <bottom style="hair">
        <color rgb="FF333333"/>
      </bottom>
      <diagonal/>
    </border>
    <border>
      <left style="double">
        <color rgb="FF333333"/>
      </left>
      <right style="thin">
        <color rgb="FF333333"/>
      </right>
      <top style="hair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 style="double">
        <color rgb="FF333333"/>
      </bottom>
      <diagonal/>
    </border>
    <border>
      <left style="thin">
        <color rgb="FF333333"/>
      </left>
      <right style="double">
        <color rgb="FF333333"/>
      </right>
      <top style="hair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double">
        <color rgb="FF333333"/>
      </left>
      <right style="thin">
        <color rgb="FF333333"/>
      </right>
      <top/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/>
      <bottom style="double">
        <color rgb="FF333333"/>
      </bottom>
      <diagonal/>
    </border>
    <border>
      <left style="thin">
        <color rgb="FF333333"/>
      </left>
      <right style="double">
        <color rgb="FF333333"/>
      </right>
      <top/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hair">
        <color rgb="FF333333"/>
      </top>
      <bottom/>
      <diagonal/>
    </border>
    <border>
      <left style="thin">
        <color rgb="FF333333"/>
      </left>
      <right style="double">
        <color rgb="FF333333"/>
      </right>
      <top/>
      <bottom style="hair">
        <color rgb="FF333333"/>
      </bottom>
      <diagonal/>
    </border>
    <border>
      <left style="double">
        <color rgb="FF333333"/>
      </left>
      <right style="thin">
        <color rgb="FF333333"/>
      </right>
      <top style="double">
        <color rgb="FF333333"/>
      </top>
      <bottom/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double">
        <color rgb="FF333333"/>
      </bottom>
      <diagonal/>
    </border>
    <border>
      <left style="double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double">
        <color rgb="FF333333"/>
      </right>
      <top style="thin">
        <color rgb="FF000000"/>
      </top>
      <bottom/>
      <diagonal/>
    </border>
    <border>
      <left style="thin">
        <color rgb="FF333333"/>
      </left>
      <right style="double">
        <color rgb="FF000000"/>
      </right>
      <top style="thin">
        <color rgb="FF000000"/>
      </top>
      <bottom/>
      <diagonal/>
    </border>
    <border>
      <left style="thin">
        <color rgb="FF333333"/>
      </left>
      <right style="double">
        <color rgb="FF000000"/>
      </right>
      <top/>
      <bottom style="double">
        <color rgb="FF333333"/>
      </bottom>
      <diagonal/>
    </border>
    <border>
      <left style="thin">
        <color rgb="FF333333"/>
      </left>
      <right style="double">
        <color rgb="FF000000"/>
      </right>
      <top style="double">
        <color rgb="FF333333"/>
      </top>
      <bottom style="hair">
        <color rgb="FF333333"/>
      </bottom>
      <diagonal/>
    </border>
    <border>
      <left style="thin">
        <color rgb="FF333333"/>
      </left>
      <right style="double">
        <color rgb="FF000000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double">
        <color rgb="FF000000"/>
      </right>
      <top style="hair">
        <color rgb="FF333333"/>
      </top>
      <bottom style="double">
        <color rgb="FF333333"/>
      </bottom>
      <diagonal/>
    </border>
    <border>
      <left/>
      <right/>
      <top style="double">
        <color rgb="FF333333"/>
      </top>
      <bottom style="double">
        <color rgb="FF333333"/>
      </bottom>
      <diagonal/>
    </border>
    <border>
      <left/>
      <right style="double">
        <color rgb="FF000000"/>
      </right>
      <top/>
      <bottom/>
      <diagonal/>
    </border>
    <border>
      <left style="double">
        <color rgb="FF333333"/>
      </left>
      <right style="thin">
        <color rgb="FF333333"/>
      </right>
      <top style="hair">
        <color rgb="FF333333"/>
      </top>
      <bottom/>
      <diagonal/>
    </border>
    <border>
      <left style="thin">
        <color rgb="FF333333"/>
      </left>
      <right style="double">
        <color rgb="FF000000"/>
      </right>
      <top style="hair">
        <color rgb="FF333333"/>
      </top>
      <bottom/>
      <diagonal/>
    </border>
    <border>
      <left style="double">
        <color rgb="FF333333"/>
      </left>
      <right/>
      <top style="double">
        <color rgb="FF333333"/>
      </top>
      <bottom style="double">
        <color rgb="FF333333"/>
      </bottom>
      <diagonal/>
    </border>
    <border>
      <left/>
      <right style="thin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double">
        <color rgb="FF000000"/>
      </right>
      <top style="double">
        <color rgb="FF333333"/>
      </top>
      <bottom style="double">
        <color rgb="FF333333"/>
      </bottom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 style="thin">
        <color rgb="FF333333"/>
      </left>
      <right style="thin">
        <color rgb="FF333333"/>
      </right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 style="medium">
        <color rgb="FF000000"/>
      </bottom>
      <diagonal/>
    </border>
    <border>
      <left style="thin">
        <color rgb="FF333333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 style="hair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000000"/>
      </top>
      <bottom style="hair">
        <color rgb="FF333333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 style="hair">
        <color rgb="FF333333"/>
      </bottom>
      <diagonal/>
    </border>
    <border>
      <left style="medium">
        <color rgb="FF000000"/>
      </left>
      <right style="thin">
        <color rgb="FF333333"/>
      </right>
      <top style="hair">
        <color rgb="FF333333"/>
      </top>
      <bottom style="hair">
        <color rgb="FF333333"/>
      </bottom>
      <diagonal/>
    </border>
    <border>
      <left style="thin">
        <color rgb="FF333333"/>
      </left>
      <right style="medium">
        <color rgb="FF000000"/>
      </right>
      <top style="hair">
        <color rgb="FF333333"/>
      </top>
      <bottom style="hair">
        <color rgb="FF333333"/>
      </bottom>
      <diagonal/>
    </border>
    <border>
      <left style="medium">
        <color rgb="FF000000"/>
      </left>
      <right style="thin">
        <color rgb="FF333333"/>
      </right>
      <top style="hair">
        <color rgb="FF333333"/>
      </top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 style="medium">
        <color rgb="FF000000"/>
      </bottom>
      <diagonal/>
    </border>
    <border>
      <left style="thin">
        <color rgb="FF333333"/>
      </left>
      <right style="medium">
        <color rgb="FF000000"/>
      </right>
      <top style="hair">
        <color rgb="FF333333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333333"/>
      </right>
      <top style="medium">
        <color rgb="FF000000"/>
      </top>
      <bottom style="hair">
        <color rgb="FF333333"/>
      </bottom>
      <diagonal/>
    </border>
    <border>
      <left style="thin">
        <color rgb="FF333333"/>
      </left>
      <right/>
      <top style="medium">
        <color rgb="FF000000"/>
      </top>
      <bottom style="hair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333333"/>
      </bottom>
      <diagonal/>
    </border>
    <border>
      <left/>
      <right style="thin">
        <color rgb="FF333333"/>
      </right>
      <top style="hair">
        <color rgb="FF333333"/>
      </top>
      <bottom/>
      <diagonal/>
    </border>
    <border>
      <left style="thin">
        <color rgb="FF333333"/>
      </left>
      <right/>
      <top style="hair">
        <color rgb="FF333333"/>
      </top>
      <bottom/>
      <diagonal/>
    </border>
    <border>
      <left style="medium">
        <color rgb="FF000000"/>
      </left>
      <right style="medium">
        <color rgb="FF000000"/>
      </right>
      <top style="hair">
        <color rgb="FF333333"/>
      </top>
      <bottom/>
      <diagonal/>
    </border>
    <border>
      <left style="double">
        <color rgb="FF333333"/>
      </left>
      <right/>
      <top style="double">
        <color rgb="FF333333"/>
      </top>
      <bottom style="hair">
        <color rgb="FF333333"/>
      </bottom>
      <diagonal/>
    </border>
    <border>
      <left/>
      <right/>
      <top style="double">
        <color rgb="FF333333"/>
      </top>
      <bottom style="hair">
        <color rgb="FF333333"/>
      </bottom>
      <diagonal/>
    </border>
    <border>
      <left/>
      <right style="double">
        <color rgb="FF333333"/>
      </right>
      <top style="double">
        <color rgb="FF333333"/>
      </top>
      <bottom style="hair">
        <color rgb="FF333333"/>
      </bottom>
      <diagonal/>
    </border>
    <border>
      <left style="double">
        <color rgb="FF333333"/>
      </left>
      <right/>
      <top/>
      <bottom style="hair">
        <color rgb="FF333333"/>
      </bottom>
      <diagonal/>
    </border>
    <border>
      <left/>
      <right/>
      <top style="hair">
        <color rgb="FF333333"/>
      </top>
      <bottom style="hair">
        <color rgb="FF333333"/>
      </bottom>
      <diagonal/>
    </border>
    <border>
      <left/>
      <right style="double">
        <color rgb="FF333333"/>
      </right>
      <top style="hair">
        <color rgb="FF333333"/>
      </top>
      <bottom style="hair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hair">
        <color rgb="FF333333"/>
      </bottom>
      <diagonal/>
    </border>
    <border>
      <left style="double">
        <color rgb="FF333333"/>
      </left>
      <right style="double">
        <color rgb="FF333333"/>
      </right>
      <top style="hair">
        <color rgb="FF333333"/>
      </top>
      <bottom style="hair">
        <color rgb="FF333333"/>
      </bottom>
      <diagonal/>
    </border>
    <border>
      <left style="double">
        <color rgb="FF333333"/>
      </left>
      <right style="double">
        <color rgb="FF333333"/>
      </right>
      <top style="hair">
        <color rgb="FF333333"/>
      </top>
      <bottom style="double">
        <color rgb="FF333333"/>
      </bottom>
      <diagonal/>
    </border>
    <border>
      <left/>
      <right style="thin">
        <color rgb="FF333333"/>
      </right>
      <top style="hair">
        <color rgb="FF333333"/>
      </top>
      <bottom style="double">
        <color rgb="FF333333"/>
      </bottom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 style="medium">
        <color rgb="FF000000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333333"/>
      </left>
      <right style="medium">
        <color rgb="FF000000"/>
      </right>
      <top/>
      <bottom style="hair">
        <color rgb="FF333333"/>
      </bottom>
      <diagonal/>
    </border>
    <border>
      <left style="medium">
        <color rgb="FF000000"/>
      </left>
      <right/>
      <top style="medium">
        <color rgb="FF000000"/>
      </top>
      <bottom style="hair">
        <color rgb="FF333333"/>
      </bottom>
      <diagonal/>
    </border>
    <border>
      <left/>
      <right/>
      <top style="medium">
        <color rgb="FF000000"/>
      </top>
      <bottom style="hair">
        <color rgb="FF333333"/>
      </bottom>
      <diagonal/>
    </border>
    <border>
      <left/>
      <right style="medium">
        <color rgb="FF000000"/>
      </right>
      <top style="medium">
        <color rgb="FF000000"/>
      </top>
      <bottom style="hair">
        <color rgb="FF333333"/>
      </bottom>
      <diagonal/>
    </border>
    <border>
      <left style="medium">
        <color rgb="FF000000"/>
      </left>
      <right/>
      <top style="hair">
        <color rgb="FF333333"/>
      </top>
      <bottom style="hair">
        <color rgb="FF333333"/>
      </bottom>
      <diagonal/>
    </border>
    <border>
      <left/>
      <right style="medium">
        <color rgb="FF000000"/>
      </right>
      <top style="hair">
        <color rgb="FF333333"/>
      </top>
      <bottom style="hair">
        <color rgb="FF333333"/>
      </bottom>
      <diagonal/>
    </border>
    <border>
      <left style="medium">
        <color rgb="FF000000"/>
      </left>
      <right/>
      <top style="hair">
        <color rgb="FF333333"/>
      </top>
      <bottom style="medium">
        <color rgb="FF000000"/>
      </bottom>
      <diagonal/>
    </border>
    <border>
      <left/>
      <right/>
      <top style="hair">
        <color rgb="FF333333"/>
      </top>
      <bottom style="medium">
        <color rgb="FF000000"/>
      </bottom>
      <diagonal/>
    </border>
    <border>
      <left/>
      <right style="medium">
        <color rgb="FF000000"/>
      </right>
      <top style="hair">
        <color rgb="FF333333"/>
      </top>
      <bottom style="medium">
        <color rgb="FF000000"/>
      </bottom>
      <diagonal/>
    </border>
    <border>
      <left style="medium">
        <color rgb="FF000000"/>
      </left>
      <right/>
      <top/>
      <bottom style="hair">
        <color rgb="FF333333"/>
      </bottom>
      <diagonal/>
    </border>
    <border>
      <left/>
      <right style="thin">
        <color rgb="FF333333"/>
      </right>
      <top/>
      <bottom/>
      <diagonal/>
    </border>
    <border>
      <left style="thin">
        <color rgb="FF333333"/>
      </left>
      <right/>
      <top/>
      <bottom/>
      <diagonal/>
    </border>
    <border>
      <left style="medium">
        <color rgb="FF000000"/>
      </left>
      <right style="thin">
        <color rgb="FF333333"/>
      </right>
      <top/>
      <bottom style="hair">
        <color rgb="FF333333"/>
      </bottom>
      <diagonal/>
    </border>
    <border>
      <left style="thin">
        <color rgb="FF333333"/>
      </left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 style="double">
        <color rgb="FF333333"/>
      </top>
      <bottom/>
      <diagonal/>
    </border>
    <border>
      <left style="thin">
        <color rgb="FF333333"/>
      </left>
      <right style="double">
        <color rgb="FF333333"/>
      </right>
      <top style="double">
        <color rgb="FF333333"/>
      </top>
      <bottom/>
      <diagonal/>
    </border>
    <border>
      <left style="thin">
        <color rgb="FF333333"/>
      </left>
      <right style="double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333333"/>
      </top>
      <bottom style="hair">
        <color rgb="FF333333"/>
      </bottom>
      <diagonal/>
    </border>
    <border>
      <left style="medium">
        <color indexed="64"/>
      </left>
      <right style="medium">
        <color indexed="64"/>
      </right>
      <top style="hair">
        <color rgb="FF33333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rgb="FF333333"/>
      </bottom>
      <diagonal/>
    </border>
    <border>
      <left style="medium">
        <color indexed="64"/>
      </left>
      <right/>
      <top style="hair">
        <color rgb="FF333333"/>
      </top>
      <bottom style="hair">
        <color rgb="FF333333"/>
      </bottom>
      <diagonal/>
    </border>
    <border>
      <left style="medium">
        <color indexed="64"/>
      </left>
      <right/>
      <top style="hair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rgb="FF333333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rgb="FF333333"/>
      </bottom>
      <diagonal/>
    </border>
    <border>
      <left/>
      <right style="medium">
        <color indexed="64"/>
      </right>
      <top style="hair">
        <color rgb="FF333333"/>
      </top>
      <bottom style="hair">
        <color rgb="FF333333"/>
      </bottom>
      <diagonal/>
    </border>
    <border>
      <left/>
      <right style="medium">
        <color indexed="64"/>
      </right>
      <top style="hair">
        <color rgb="FF333333"/>
      </top>
      <bottom/>
      <diagonal/>
    </border>
  </borders>
  <cellStyleXfs count="21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4" fontId="15" fillId="0" borderId="0" applyFill="0" applyBorder="0" applyAlignment="0" applyProtection="0"/>
    <xf numFmtId="171" fontId="15" fillId="0" borderId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9" fontId="15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1497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0" fontId="11" fillId="0" borderId="0" xfId="0" applyFont="1"/>
    <xf numFmtId="0" fontId="0" fillId="0" borderId="0" xfId="0" applyFont="1" applyAlignment="1">
      <alignment horizontal="right"/>
    </xf>
    <xf numFmtId="0" fontId="13" fillId="0" borderId="0" xfId="0" applyFont="1"/>
    <xf numFmtId="0" fontId="0" fillId="0" borderId="0" xfId="0" applyFill="1"/>
    <xf numFmtId="172" fontId="0" fillId="0" borderId="0" xfId="0" applyNumberFormat="1" applyFill="1"/>
    <xf numFmtId="172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173" fontId="0" fillId="0" borderId="0" xfId="0" applyNumberFormat="1" applyFill="1" applyAlignment="1">
      <alignment horizontal="center"/>
    </xf>
    <xf numFmtId="0" fontId="14" fillId="0" borderId="0" xfId="0" applyFont="1" applyFill="1"/>
    <xf numFmtId="0" fontId="0" fillId="0" borderId="0" xfId="0" applyBorder="1"/>
    <xf numFmtId="0" fontId="0" fillId="0" borderId="2" xfId="0" applyBorder="1"/>
    <xf numFmtId="171" fontId="13" fillId="0" borderId="0" xfId="13" applyFont="1" applyFill="1" applyBorder="1" applyAlignment="1" applyProtection="1"/>
    <xf numFmtId="0" fontId="0" fillId="0" borderId="0" xfId="0" applyFill="1" applyProtection="1"/>
    <xf numFmtId="0" fontId="0" fillId="0" borderId="0" xfId="0" applyProtection="1"/>
    <xf numFmtId="0" fontId="0" fillId="0" borderId="15" xfId="0" applyBorder="1"/>
    <xf numFmtId="10" fontId="0" fillId="0" borderId="0" xfId="0" applyNumberFormat="1"/>
    <xf numFmtId="0" fontId="0" fillId="0" borderId="16" xfId="0" applyBorder="1"/>
    <xf numFmtId="176" fontId="0" fillId="0" borderId="0" xfId="0" applyNumberFormat="1" applyBorder="1"/>
    <xf numFmtId="171" fontId="19" fillId="0" borderId="0" xfId="0" applyNumberFormat="1" applyFont="1" applyBorder="1"/>
    <xf numFmtId="0" fontId="0" fillId="0" borderId="8" xfId="0" applyBorder="1"/>
    <xf numFmtId="0" fontId="0" fillId="0" borderId="18" xfId="0" applyBorder="1"/>
    <xf numFmtId="177" fontId="18" fillId="0" borderId="22" xfId="0" applyNumberFormat="1" applyFont="1" applyBorder="1" applyAlignment="1">
      <alignment horizontal="center"/>
    </xf>
    <xf numFmtId="0" fontId="18" fillId="0" borderId="27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8" fillId="0" borderId="33" xfId="0" applyFont="1" applyBorder="1"/>
    <xf numFmtId="177" fontId="0" fillId="0" borderId="19" xfId="0" applyNumberFormat="1" applyBorder="1"/>
    <xf numFmtId="177" fontId="0" fillId="0" borderId="22" xfId="0" applyNumberFormat="1" applyBorder="1"/>
    <xf numFmtId="177" fontId="18" fillId="0" borderId="24" xfId="0" applyNumberFormat="1" applyFont="1" applyBorder="1"/>
    <xf numFmtId="177" fontId="0" fillId="0" borderId="19" xfId="0" applyNumberFormat="1" applyBorder="1" applyAlignment="1">
      <alignment horizontal="center"/>
    </xf>
    <xf numFmtId="177" fontId="0" fillId="0" borderId="22" xfId="0" applyNumberFormat="1" applyBorder="1" applyAlignment="1">
      <alignment horizontal="center"/>
    </xf>
    <xf numFmtId="177" fontId="0" fillId="0" borderId="15" xfId="0" applyNumberFormat="1" applyBorder="1"/>
    <xf numFmtId="0" fontId="0" fillId="0" borderId="34" xfId="0" applyBorder="1"/>
    <xf numFmtId="0" fontId="0" fillId="0" borderId="35" xfId="0" applyBorder="1"/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18" fillId="0" borderId="15" xfId="0" applyNumberFormat="1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0" xfId="0" applyBorder="1" applyAlignment="1">
      <alignment wrapText="1"/>
    </xf>
    <xf numFmtId="9" fontId="0" fillId="0" borderId="15" xfId="0" applyNumberFormat="1" applyBorder="1" applyAlignment="1">
      <alignment horizontal="center" vertical="center"/>
    </xf>
    <xf numFmtId="171" fontId="19" fillId="0" borderId="0" xfId="0" applyNumberFormat="1" applyFont="1"/>
    <xf numFmtId="0" fontId="18" fillId="0" borderId="45" xfId="0" applyFont="1" applyBorder="1"/>
    <xf numFmtId="9" fontId="0" fillId="0" borderId="0" xfId="0" applyNumberFormat="1"/>
    <xf numFmtId="0" fontId="18" fillId="0" borderId="46" xfId="0" applyFont="1" applyBorder="1"/>
    <xf numFmtId="0" fontId="0" fillId="0" borderId="0" xfId="0" applyFill="1" applyBorder="1"/>
    <xf numFmtId="0" fontId="18" fillId="0" borderId="0" xfId="0" applyFont="1" applyAlignment="1">
      <alignment horizontal="right"/>
    </xf>
    <xf numFmtId="9" fontId="0" fillId="0" borderId="36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8" xfId="0" applyNumberFormat="1" applyBorder="1" applyAlignment="1">
      <alignment horizontal="center"/>
    </xf>
    <xf numFmtId="0" fontId="20" fillId="0" borderId="0" xfId="0" applyFont="1" applyFill="1" applyAlignment="1">
      <alignment wrapText="1"/>
    </xf>
    <xf numFmtId="4" fontId="16" fillId="0" borderId="0" xfId="0" applyNumberFormat="1" applyFont="1" applyBorder="1" applyAlignment="1">
      <alignment horizontal="center" vertical="center"/>
    </xf>
    <xf numFmtId="178" fontId="0" fillId="0" borderId="0" xfId="0" applyNumberFormat="1" applyBorder="1" applyAlignment="1"/>
    <xf numFmtId="0" fontId="0" fillId="0" borderId="0" xfId="0" applyBorder="1" applyAlignment="1"/>
    <xf numFmtId="178" fontId="0" fillId="0" borderId="0" xfId="0" applyNumberFormat="1" applyBorder="1" applyAlignment="1">
      <alignment vertical="center"/>
    </xf>
    <xf numFmtId="179" fontId="19" fillId="0" borderId="0" xfId="0" applyNumberFormat="1" applyFon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19" fillId="0" borderId="8" xfId="0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1" fontId="19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0" xfId="0" applyFont="1" applyFill="1" applyBorder="1" applyAlignment="1">
      <alignment vertical="center" wrapText="1"/>
    </xf>
    <xf numFmtId="0" fontId="0" fillId="0" borderId="76" xfId="0" applyBorder="1"/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67" xfId="0" applyBorder="1"/>
    <xf numFmtId="0" fontId="0" fillId="0" borderId="90" xfId="0" applyBorder="1"/>
    <xf numFmtId="0" fontId="0" fillId="0" borderId="8" xfId="0" applyBorder="1" applyAlignment="1">
      <alignment horizontal="center"/>
    </xf>
    <xf numFmtId="171" fontId="15" fillId="0" borderId="8" xfId="13" applyBorder="1" applyAlignment="1">
      <alignment horizontal="center"/>
    </xf>
    <xf numFmtId="167" fontId="19" fillId="0" borderId="72" xfId="0" applyNumberFormat="1" applyFont="1" applyBorder="1"/>
    <xf numFmtId="0" fontId="0" fillId="0" borderId="101" xfId="0" applyBorder="1"/>
    <xf numFmtId="9" fontId="0" fillId="0" borderId="0" xfId="0" applyNumberFormat="1" applyBorder="1" applyAlignment="1">
      <alignment horizontal="center"/>
    </xf>
    <xf numFmtId="181" fontId="18" fillId="0" borderId="72" xfId="0" applyNumberFormat="1" applyFont="1" applyBorder="1"/>
    <xf numFmtId="181" fontId="18" fillId="0" borderId="22" xfId="0" applyNumberFormat="1" applyFont="1" applyBorder="1"/>
    <xf numFmtId="181" fontId="0" fillId="0" borderId="22" xfId="0" applyNumberFormat="1" applyBorder="1"/>
    <xf numFmtId="181" fontId="0" fillId="0" borderId="19" xfId="0" applyNumberFormat="1" applyBorder="1"/>
    <xf numFmtId="181" fontId="0" fillId="0" borderId="74" xfId="0" applyNumberFormat="1" applyFont="1" applyBorder="1"/>
    <xf numFmtId="183" fontId="19" fillId="0" borderId="49" xfId="0" applyNumberFormat="1" applyFont="1" applyBorder="1"/>
    <xf numFmtId="183" fontId="18" fillId="0" borderId="66" xfId="0" applyNumberFormat="1" applyFont="1" applyBorder="1"/>
    <xf numFmtId="182" fontId="16" fillId="0" borderId="86" xfId="0" applyNumberFormat="1" applyFont="1" applyBorder="1" applyAlignment="1">
      <alignment horizontal="center" vertical="center"/>
    </xf>
    <xf numFmtId="182" fontId="19" fillId="0" borderId="84" xfId="0" applyNumberFormat="1" applyFont="1" applyBorder="1" applyAlignment="1">
      <alignment vertical="center" wrapText="1"/>
    </xf>
    <xf numFmtId="182" fontId="0" fillId="0" borderId="84" xfId="0" applyNumberFormat="1" applyBorder="1"/>
    <xf numFmtId="182" fontId="22" fillId="0" borderId="84" xfId="0" applyNumberFormat="1" applyFont="1" applyBorder="1"/>
    <xf numFmtId="182" fontId="18" fillId="0" borderId="84" xfId="0" applyNumberFormat="1" applyFont="1" applyBorder="1"/>
    <xf numFmtId="182" fontId="18" fillId="0" borderId="85" xfId="0" applyNumberFormat="1" applyFont="1" applyBorder="1"/>
    <xf numFmtId="184" fontId="17" fillId="0" borderId="8" xfId="0" applyNumberFormat="1" applyFont="1" applyBorder="1" applyAlignment="1">
      <alignment horizontal="center" vertical="center"/>
    </xf>
    <xf numFmtId="184" fontId="17" fillId="0" borderId="68" xfId="0" applyNumberFormat="1" applyFont="1" applyBorder="1" applyAlignment="1">
      <alignment horizontal="center" vertical="center"/>
    </xf>
    <xf numFmtId="184" fontId="0" fillId="0" borderId="72" xfId="0" applyNumberFormat="1" applyBorder="1"/>
    <xf numFmtId="0" fontId="0" fillId="0" borderId="9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183" fontId="18" fillId="0" borderId="15" xfId="0" applyNumberFormat="1" applyFont="1" applyBorder="1" applyAlignment="1">
      <alignment horizontal="center"/>
    </xf>
    <xf numFmtId="0" fontId="13" fillId="0" borderId="3" xfId="0" applyFont="1" applyBorder="1"/>
    <xf numFmtId="183" fontId="24" fillId="11" borderId="8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Fill="1" applyBorder="1" applyAlignment="1"/>
    <xf numFmtId="183" fontId="23" fillId="0" borderId="8" xfId="0" applyNumberFormat="1" applyFont="1" applyFill="1" applyBorder="1" applyAlignment="1" applyProtection="1">
      <alignment horizontal="center"/>
      <protection locked="0"/>
    </xf>
    <xf numFmtId="183" fontId="24" fillId="11" borderId="72" xfId="0" applyNumberFormat="1" applyFont="1" applyFill="1" applyBorder="1" applyAlignment="1" applyProtection="1">
      <alignment horizontal="center"/>
      <protection locked="0"/>
    </xf>
    <xf numFmtId="0" fontId="0" fillId="0" borderId="72" xfId="0" applyFont="1" applyFill="1" applyBorder="1" applyAlignment="1"/>
    <xf numFmtId="183" fontId="23" fillId="0" borderId="72" xfId="0" applyNumberFormat="1" applyFont="1" applyFill="1" applyBorder="1" applyAlignment="1" applyProtection="1">
      <alignment horizontal="center"/>
      <protection locked="0"/>
    </xf>
    <xf numFmtId="0" fontId="23" fillId="0" borderId="8" xfId="0" applyFont="1" applyFill="1" applyBorder="1" applyAlignment="1"/>
    <xf numFmtId="0" fontId="23" fillId="0" borderId="72" xfId="0" applyFont="1" applyFill="1" applyBorder="1" applyAlignment="1"/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71" fontId="19" fillId="0" borderId="8" xfId="0" applyNumberFormat="1" applyFont="1" applyBorder="1"/>
    <xf numFmtId="9" fontId="0" fillId="0" borderId="8" xfId="0" applyNumberFormat="1" applyBorder="1"/>
    <xf numFmtId="0" fontId="0" fillId="0" borderId="0" xfId="0" applyAlignment="1">
      <alignment vertical="center"/>
    </xf>
    <xf numFmtId="0" fontId="27" fillId="12" borderId="0" xfId="0" applyFont="1" applyFill="1"/>
    <xf numFmtId="9" fontId="15" fillId="0" borderId="0" xfId="16" applyBorder="1"/>
    <xf numFmtId="3" fontId="0" fillId="0" borderId="8" xfId="0" applyNumberFormat="1" applyBorder="1"/>
    <xf numFmtId="185" fontId="0" fillId="0" borderId="15" xfId="0" applyNumberFormat="1" applyBorder="1" applyAlignment="1">
      <alignment horizontal="center" vertical="center"/>
    </xf>
    <xf numFmtId="183" fontId="15" fillId="0" borderId="0" xfId="13" applyNumberFormat="1"/>
    <xf numFmtId="185" fontId="19" fillId="12" borderId="15" xfId="0" applyNumberFormat="1" applyFont="1" applyFill="1" applyBorder="1" applyAlignment="1">
      <alignment horizontal="center" vertical="center"/>
    </xf>
    <xf numFmtId="9" fontId="15" fillId="12" borderId="15" xfId="16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183" fontId="15" fillId="0" borderId="0" xfId="13" applyNumberFormat="1" applyAlignment="1">
      <alignment horizontal="center" vertical="center"/>
    </xf>
    <xf numFmtId="180" fontId="15" fillId="0" borderId="0" xfId="16" applyNumberFormat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7" fillId="0" borderId="0" xfId="0" applyFont="1"/>
    <xf numFmtId="0" fontId="27" fillId="13" borderId="0" xfId="0" applyFont="1" applyFill="1" applyAlignment="1">
      <alignment horizontal="center"/>
    </xf>
    <xf numFmtId="0" fontId="22" fillId="0" borderId="0" xfId="0" applyFont="1"/>
    <xf numFmtId="0" fontId="0" fillId="0" borderId="0" xfId="0" applyFont="1"/>
    <xf numFmtId="0" fontId="27" fillId="11" borderId="0" xfId="0" applyFont="1" applyFill="1"/>
    <xf numFmtId="0" fontId="28" fillId="11" borderId="0" xfId="0" applyFont="1" applyFill="1" applyBorder="1"/>
    <xf numFmtId="0" fontId="27" fillId="11" borderId="0" xfId="0" applyFont="1" applyFill="1" applyBorder="1"/>
    <xf numFmtId="169" fontId="28" fillId="11" borderId="0" xfId="0" applyNumberFormat="1" applyFont="1" applyFill="1"/>
    <xf numFmtId="169" fontId="27" fillId="11" borderId="0" xfId="0" applyNumberFormat="1" applyFont="1" applyFill="1"/>
    <xf numFmtId="9" fontId="28" fillId="11" borderId="0" xfId="16" applyFont="1" applyFill="1"/>
    <xf numFmtId="167" fontId="27" fillId="11" borderId="0" xfId="0" applyNumberFormat="1" applyFont="1" applyFill="1"/>
    <xf numFmtId="9" fontId="27" fillId="11" borderId="0" xfId="16" applyFont="1" applyFill="1"/>
    <xf numFmtId="171" fontId="27" fillId="11" borderId="134" xfId="13" applyFont="1" applyFill="1" applyBorder="1" applyAlignment="1">
      <alignment horizontal="center" vertical="center"/>
    </xf>
    <xf numFmtId="171" fontId="27" fillId="11" borderId="87" xfId="13" applyFont="1" applyFill="1" applyBorder="1" applyAlignment="1">
      <alignment horizontal="center" vertical="center"/>
    </xf>
    <xf numFmtId="168" fontId="27" fillId="11" borderId="135" xfId="0" applyNumberFormat="1" applyFont="1" applyFill="1" applyBorder="1" applyAlignment="1">
      <alignment horizontal="center" vertical="center"/>
    </xf>
    <xf numFmtId="171" fontId="27" fillId="11" borderId="8" xfId="13" applyFont="1" applyFill="1" applyBorder="1" applyAlignment="1">
      <alignment horizontal="center" vertical="center"/>
    </xf>
    <xf numFmtId="166" fontId="27" fillId="11" borderId="72" xfId="0" applyNumberFormat="1" applyFont="1" applyFill="1" applyBorder="1" applyAlignment="1">
      <alignment horizontal="center" vertical="center"/>
    </xf>
    <xf numFmtId="171" fontId="27" fillId="11" borderId="93" xfId="13" applyFont="1" applyFill="1" applyBorder="1" applyAlignment="1">
      <alignment horizontal="center" vertical="center"/>
    </xf>
    <xf numFmtId="171" fontId="27" fillId="11" borderId="136" xfId="13" applyFont="1" applyFill="1" applyBorder="1" applyAlignment="1">
      <alignment horizontal="center" vertical="center"/>
    </xf>
    <xf numFmtId="171" fontId="27" fillId="11" borderId="137" xfId="13" applyFont="1" applyFill="1" applyBorder="1" applyAlignment="1">
      <alignment horizontal="center" vertical="center"/>
    </xf>
    <xf numFmtId="171" fontId="27" fillId="11" borderId="73" xfId="13" applyFont="1" applyFill="1" applyBorder="1" applyAlignment="1">
      <alignment horizontal="center" vertical="center"/>
    </xf>
    <xf numFmtId="166" fontId="27" fillId="11" borderId="74" xfId="0" applyNumberFormat="1" applyFont="1" applyFill="1" applyBorder="1" applyAlignment="1">
      <alignment horizontal="center" vertical="center"/>
    </xf>
    <xf numFmtId="171" fontId="27" fillId="11" borderId="100" xfId="13" applyFont="1" applyFill="1" applyBorder="1" applyAlignment="1">
      <alignment horizontal="center" vertical="center"/>
    </xf>
    <xf numFmtId="0" fontId="22" fillId="0" borderId="79" xfId="0" applyFont="1" applyBorder="1"/>
    <xf numFmtId="0" fontId="0" fillId="0" borderId="79" xfId="0" applyFont="1" applyBorder="1"/>
    <xf numFmtId="0" fontId="0" fillId="0" borderId="0" xfId="0" applyFont="1" applyBorder="1"/>
    <xf numFmtId="0" fontId="0" fillId="0" borderId="80" xfId="0" applyFont="1" applyBorder="1"/>
    <xf numFmtId="0" fontId="0" fillId="0" borderId="9" xfId="0" applyFont="1" applyBorder="1"/>
    <xf numFmtId="0" fontId="0" fillId="0" borderId="18" xfId="0" applyFont="1" applyBorder="1"/>
    <xf numFmtId="0" fontId="13" fillId="0" borderId="27" xfId="0" applyFont="1" applyBorder="1"/>
    <xf numFmtId="0" fontId="0" fillId="0" borderId="30" xfId="0" applyFont="1" applyBorder="1"/>
    <xf numFmtId="0" fontId="0" fillId="0" borderId="29" xfId="0" applyFont="1" applyBorder="1"/>
    <xf numFmtId="43" fontId="0" fillId="0" borderId="0" xfId="0" applyNumberFormat="1" applyFill="1"/>
    <xf numFmtId="0" fontId="32" fillId="11" borderId="0" xfId="0" applyFont="1" applyFill="1"/>
    <xf numFmtId="0" fontId="31" fillId="11" borderId="0" xfId="0" applyFont="1" applyFill="1"/>
    <xf numFmtId="0" fontId="14" fillId="11" borderId="0" xfId="0" applyFont="1" applyFill="1" applyBorder="1"/>
    <xf numFmtId="0" fontId="33" fillId="11" borderId="0" xfId="0" applyFont="1" applyFill="1" applyBorder="1" applyAlignment="1">
      <alignment horizontal="left"/>
    </xf>
    <xf numFmtId="0" fontId="14" fillId="11" borderId="0" xfId="0" applyFont="1" applyFill="1" applyBorder="1" applyAlignment="1">
      <alignment horizontal="center"/>
    </xf>
    <xf numFmtId="0" fontId="31" fillId="11" borderId="0" xfId="0" applyFont="1" applyFill="1" applyBorder="1"/>
    <xf numFmtId="0" fontId="27" fillId="12" borderId="0" xfId="0" applyFont="1" applyFill="1" applyAlignment="1">
      <alignment vertical="center"/>
    </xf>
    <xf numFmtId="0" fontId="14" fillId="11" borderId="33" xfId="0" applyFont="1" applyFill="1" applyBorder="1" applyAlignment="1">
      <alignment horizontal="center"/>
    </xf>
    <xf numFmtId="0" fontId="14" fillId="11" borderId="155" xfId="0" applyFont="1" applyFill="1" applyBorder="1" applyAlignment="1">
      <alignment horizontal="center" vertical="center"/>
    </xf>
    <xf numFmtId="167" fontId="31" fillId="11" borderId="0" xfId="0" applyNumberFormat="1" applyFont="1" applyFill="1"/>
    <xf numFmtId="0" fontId="14" fillId="11" borderId="0" xfId="0" applyFont="1" applyFill="1"/>
    <xf numFmtId="0" fontId="14" fillId="11" borderId="69" xfId="0" applyFont="1" applyFill="1" applyBorder="1" applyAlignment="1">
      <alignment horizontal="center" vertical="center"/>
    </xf>
    <xf numFmtId="169" fontId="14" fillId="11" borderId="71" xfId="0" applyNumberFormat="1" applyFont="1" applyFill="1" applyBorder="1" applyProtection="1">
      <protection locked="0"/>
    </xf>
    <xf numFmtId="0" fontId="31" fillId="11" borderId="0" xfId="0" applyFont="1" applyFill="1" applyAlignment="1">
      <alignment horizontal="center" vertical="center"/>
    </xf>
    <xf numFmtId="0" fontId="14" fillId="11" borderId="10" xfId="0" applyFont="1" applyFill="1" applyBorder="1" applyAlignment="1">
      <alignment horizontal="center" vertical="center"/>
    </xf>
    <xf numFmtId="10" fontId="14" fillId="11" borderId="125" xfId="0" applyNumberFormat="1" applyFont="1" applyFill="1" applyBorder="1" applyProtection="1">
      <protection locked="0"/>
    </xf>
    <xf numFmtId="169" fontId="31" fillId="11" borderId="0" xfId="0" applyNumberFormat="1" applyFont="1" applyFill="1"/>
    <xf numFmtId="183" fontId="0" fillId="0" borderId="0" xfId="0" applyNumberFormat="1"/>
    <xf numFmtId="0" fontId="32" fillId="16" borderId="123" xfId="0" applyFont="1" applyFill="1" applyBorder="1"/>
    <xf numFmtId="0" fontId="31" fillId="16" borderId="124" xfId="0" applyFont="1" applyFill="1" applyBorder="1"/>
    <xf numFmtId="0" fontId="31" fillId="16" borderId="124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8" fillId="12" borderId="0" xfId="0" applyFont="1" applyFill="1" applyBorder="1" applyAlignment="1">
      <alignment horizontal="center" vertical="center"/>
    </xf>
    <xf numFmtId="9" fontId="28" fillId="12" borderId="0" xfId="0" applyNumberFormat="1" applyFont="1" applyFill="1" applyBorder="1" applyAlignment="1">
      <alignment horizontal="center" vertical="center"/>
    </xf>
    <xf numFmtId="2" fontId="27" fillId="12" borderId="0" xfId="0" applyNumberFormat="1" applyFont="1" applyFill="1" applyBorder="1" applyAlignment="1">
      <alignment horizontal="center" vertical="center"/>
    </xf>
    <xf numFmtId="174" fontId="27" fillId="12" borderId="0" xfId="12" applyFont="1" applyFill="1" applyBorder="1"/>
    <xf numFmtId="174" fontId="28" fillId="12" borderId="0" xfId="12" applyFont="1" applyFill="1" applyBorder="1" applyAlignment="1">
      <alignment horizontal="center" vertical="center"/>
    </xf>
    <xf numFmtId="0" fontId="27" fillId="0" borderId="0" xfId="0" applyFont="1" applyBorder="1"/>
    <xf numFmtId="0" fontId="30" fillId="0" borderId="0" xfId="0" applyFont="1" applyBorder="1"/>
    <xf numFmtId="0" fontId="27" fillId="0" borderId="8" xfId="0" applyFont="1" applyBorder="1"/>
    <xf numFmtId="9" fontId="13" fillId="17" borderId="2" xfId="16" applyFont="1" applyFill="1" applyBorder="1" applyAlignment="1" applyProtection="1">
      <alignment horizontal="center"/>
    </xf>
    <xf numFmtId="0" fontId="13" fillId="17" borderId="2" xfId="0" applyFont="1" applyFill="1" applyBorder="1" applyAlignment="1">
      <alignment horizontal="center"/>
    </xf>
    <xf numFmtId="170" fontId="13" fillId="17" borderId="2" xfId="0" applyNumberFormat="1" applyFont="1" applyFill="1" applyBorder="1" applyAlignment="1">
      <alignment horizontal="center"/>
    </xf>
    <xf numFmtId="3" fontId="0" fillId="20" borderId="12" xfId="0" applyNumberFormat="1" applyFill="1" applyBorder="1" applyAlignment="1" applyProtection="1">
      <alignment horizontal="center"/>
      <protection locked="0"/>
    </xf>
    <xf numFmtId="0" fontId="0" fillId="20" borderId="12" xfId="0" applyFill="1" applyBorder="1" applyAlignment="1" applyProtection="1">
      <alignment horizontal="center"/>
      <protection locked="0"/>
    </xf>
    <xf numFmtId="9" fontId="0" fillId="20" borderId="12" xfId="0" applyNumberFormat="1" applyFill="1" applyBorder="1" applyAlignment="1" applyProtection="1">
      <alignment horizontal="center"/>
      <protection locked="0"/>
    </xf>
    <xf numFmtId="171" fontId="19" fillId="16" borderId="8" xfId="0" applyNumberFormat="1" applyFont="1" applyFill="1" applyBorder="1"/>
    <xf numFmtId="0" fontId="0" fillId="14" borderId="8" xfId="0" applyFill="1" applyBorder="1"/>
    <xf numFmtId="0" fontId="13" fillId="13" borderId="2" xfId="0" applyFont="1" applyFill="1" applyBorder="1" applyAlignment="1">
      <alignment horizontal="center"/>
    </xf>
    <xf numFmtId="0" fontId="0" fillId="18" borderId="133" xfId="0" applyFill="1" applyBorder="1"/>
    <xf numFmtId="0" fontId="0" fillId="18" borderId="89" xfId="0" applyFill="1" applyBorder="1"/>
    <xf numFmtId="0" fontId="0" fillId="18" borderId="88" xfId="0" applyFill="1" applyBorder="1"/>
    <xf numFmtId="0" fontId="0" fillId="18" borderId="67" xfId="0" applyFill="1" applyBorder="1"/>
    <xf numFmtId="0" fontId="0" fillId="18" borderId="169" xfId="0" applyFill="1" applyBorder="1"/>
    <xf numFmtId="0" fontId="0" fillId="18" borderId="64" xfId="0" applyFill="1" applyBorder="1"/>
    <xf numFmtId="0" fontId="18" fillId="18" borderId="65" xfId="0" applyFont="1" applyFill="1" applyBorder="1" applyAlignment="1">
      <alignment vertical="center"/>
    </xf>
    <xf numFmtId="0" fontId="36" fillId="0" borderId="0" xfId="0" applyFont="1"/>
    <xf numFmtId="0" fontId="0" fillId="0" borderId="0" xfId="0" quotePrefix="1"/>
    <xf numFmtId="0" fontId="0" fillId="0" borderId="0" xfId="0" quotePrefix="1" applyFill="1" applyBorder="1"/>
    <xf numFmtId="0" fontId="0" fillId="23" borderId="164" xfId="0" applyFill="1" applyBorder="1"/>
    <xf numFmtId="0" fontId="13" fillId="23" borderId="165" xfId="0" applyFont="1" applyFill="1" applyBorder="1"/>
    <xf numFmtId="0" fontId="0" fillId="23" borderId="165" xfId="0" applyFont="1" applyFill="1" applyBorder="1"/>
    <xf numFmtId="0" fontId="0" fillId="23" borderId="165" xfId="0" applyFont="1" applyFill="1" applyBorder="1" applyAlignment="1">
      <alignment horizontal="left"/>
    </xf>
    <xf numFmtId="0" fontId="13" fillId="23" borderId="163" xfId="0" applyFont="1" applyFill="1" applyBorder="1" applyAlignment="1">
      <alignment horizontal="left"/>
    </xf>
    <xf numFmtId="0" fontId="13" fillId="23" borderId="161" xfId="0" applyFont="1" applyFill="1" applyBorder="1" applyAlignment="1">
      <alignment horizontal="center"/>
    </xf>
    <xf numFmtId="0" fontId="13" fillId="23" borderId="107" xfId="0" applyFont="1" applyFill="1" applyBorder="1" applyAlignment="1">
      <alignment horizontal="center"/>
    </xf>
    <xf numFmtId="0" fontId="13" fillId="23" borderId="108" xfId="0" applyFont="1" applyFill="1" applyBorder="1" applyAlignment="1">
      <alignment horizontal="center"/>
    </xf>
    <xf numFmtId="0" fontId="13" fillId="23" borderId="160" xfId="0" applyFont="1" applyFill="1" applyBorder="1" applyAlignment="1">
      <alignment horizontal="center"/>
    </xf>
    <xf numFmtId="0" fontId="13" fillId="23" borderId="109" xfId="0" applyFont="1" applyFill="1" applyBorder="1" applyAlignment="1">
      <alignment horizontal="center"/>
    </xf>
    <xf numFmtId="0" fontId="13" fillId="23" borderId="110" xfId="0" applyFont="1" applyFill="1" applyBorder="1"/>
    <xf numFmtId="0" fontId="13" fillId="23" borderId="108" xfId="0" applyFont="1" applyFill="1" applyBorder="1"/>
    <xf numFmtId="0" fontId="13" fillId="23" borderId="113" xfId="0" applyFont="1" applyFill="1" applyBorder="1"/>
    <xf numFmtId="0" fontId="0" fillId="23" borderId="114" xfId="0" applyFont="1" applyFill="1" applyBorder="1"/>
    <xf numFmtId="0" fontId="0" fillId="23" borderId="114" xfId="0" applyFont="1" applyFill="1" applyBorder="1" applyAlignment="1">
      <alignment horizontal="left"/>
    </xf>
    <xf numFmtId="0" fontId="13" fillId="23" borderId="114" xfId="0" applyFont="1" applyFill="1" applyBorder="1" applyAlignment="1">
      <alignment horizontal="left"/>
    </xf>
    <xf numFmtId="0" fontId="13" fillId="23" borderId="114" xfId="0" applyFont="1" applyFill="1" applyBorder="1"/>
    <xf numFmtId="0" fontId="13" fillId="23" borderId="115" xfId="0" applyFont="1" applyFill="1" applyBorder="1" applyAlignment="1">
      <alignment horizontal="left"/>
    </xf>
    <xf numFmtId="165" fontId="0" fillId="0" borderId="6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5" fontId="0" fillId="0" borderId="159" xfId="0" applyNumberFormat="1" applyFont="1" applyFill="1" applyBorder="1" applyAlignment="1">
      <alignment horizontal="center" vertical="center"/>
    </xf>
    <xf numFmtId="165" fontId="0" fillId="0" borderId="7" xfId="0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/>
    </xf>
    <xf numFmtId="165" fontId="0" fillId="0" borderId="105" xfId="0" applyNumberFormat="1" applyFont="1" applyFill="1" applyBorder="1" applyAlignment="1">
      <alignment horizontal="center" vertical="center"/>
    </xf>
    <xf numFmtId="165" fontId="0" fillId="0" borderId="129" xfId="0" applyNumberFormat="1" applyFont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 applyProtection="1">
      <alignment horizontal="center" vertical="center"/>
      <protection locked="0"/>
    </xf>
    <xf numFmtId="165" fontId="15" fillId="0" borderId="5" xfId="13" applyNumberFormat="1" applyFont="1" applyFill="1" applyBorder="1" applyAlignment="1" applyProtection="1">
      <alignment horizontal="center" vertical="center"/>
      <protection locked="0"/>
    </xf>
    <xf numFmtId="165" fontId="15" fillId="0" borderId="105" xfId="13" applyNumberFormat="1" applyFont="1" applyFill="1" applyBorder="1" applyAlignment="1" applyProtection="1">
      <alignment horizontal="center" vertical="center"/>
      <protection locked="0"/>
    </xf>
    <xf numFmtId="165" fontId="19" fillId="0" borderId="129" xfId="0" applyNumberFormat="1" applyFont="1" applyBorder="1" applyAlignment="1" applyProtection="1">
      <alignment horizontal="center" vertical="center"/>
      <protection locked="0"/>
    </xf>
    <xf numFmtId="165" fontId="15" fillId="0" borderId="14" xfId="13" applyNumberFormat="1" applyFont="1" applyBorder="1" applyAlignment="1" applyProtection="1">
      <alignment horizontal="center" vertical="center"/>
      <protection locked="0"/>
    </xf>
    <xf numFmtId="165" fontId="0" fillId="0" borderId="129" xfId="0" applyNumberFormat="1" applyFont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15" fillId="0" borderId="5" xfId="13" applyNumberFormat="1" applyFont="1" applyFill="1" applyBorder="1" applyAlignment="1" applyProtection="1">
      <alignment horizontal="center" vertical="center"/>
    </xf>
    <xf numFmtId="165" fontId="15" fillId="0" borderId="105" xfId="13" applyNumberFormat="1" applyFont="1" applyFill="1" applyBorder="1" applyAlignment="1" applyProtection="1">
      <alignment horizontal="center" vertical="center"/>
    </xf>
    <xf numFmtId="165" fontId="19" fillId="0" borderId="14" xfId="0" applyNumberFormat="1" applyFont="1" applyBorder="1" applyAlignment="1" applyProtection="1">
      <alignment horizontal="center" vertical="center"/>
      <protection locked="0"/>
    </xf>
    <xf numFmtId="165" fontId="18" fillId="0" borderId="162" xfId="0" applyNumberFormat="1" applyFont="1" applyBorder="1" applyAlignment="1" applyProtection="1">
      <alignment horizontal="center" vertical="center"/>
      <protection locked="0"/>
    </xf>
    <xf numFmtId="165" fontId="18" fillId="0" borderId="111" xfId="0" applyNumberFormat="1" applyFont="1" applyBorder="1" applyAlignment="1" applyProtection="1">
      <alignment horizontal="center" vertical="center"/>
      <protection locked="0"/>
    </xf>
    <xf numFmtId="165" fontId="13" fillId="0" borderId="107" xfId="13" applyNumberFormat="1" applyFont="1" applyFill="1" applyBorder="1" applyAlignment="1" applyProtection="1">
      <alignment horizontal="center" vertical="center"/>
      <protection locked="0"/>
    </xf>
    <xf numFmtId="165" fontId="13" fillId="0" borderId="108" xfId="13" applyNumberFormat="1" applyFont="1" applyFill="1" applyBorder="1" applyAlignment="1" applyProtection="1">
      <alignment horizontal="center" vertical="center"/>
      <protection locked="0"/>
    </xf>
    <xf numFmtId="165" fontId="15" fillId="0" borderId="116" xfId="13" applyNumberFormat="1" applyBorder="1" applyAlignment="1">
      <alignment horizontal="center" vertical="center"/>
    </xf>
    <xf numFmtId="165" fontId="15" fillId="0" borderId="109" xfId="13" applyNumberFormat="1" applyFill="1" applyBorder="1" applyAlignment="1" applyProtection="1">
      <alignment horizontal="center" vertical="center"/>
    </xf>
    <xf numFmtId="165" fontId="15" fillId="0" borderId="103" xfId="13" applyNumberFormat="1" applyBorder="1" applyAlignment="1">
      <alignment horizontal="center" vertical="center"/>
    </xf>
    <xf numFmtId="165" fontId="15" fillId="0" borderId="109" xfId="13" applyNumberFormat="1" applyFill="1" applyBorder="1" applyAlignment="1">
      <alignment horizontal="center" vertical="center"/>
    </xf>
    <xf numFmtId="165" fontId="15" fillId="0" borderId="104" xfId="13" applyNumberFormat="1" applyBorder="1" applyAlignment="1">
      <alignment horizontal="center" vertical="center"/>
    </xf>
    <xf numFmtId="165" fontId="15" fillId="0" borderId="170" xfId="13" applyNumberFormat="1" applyBorder="1" applyAlignment="1">
      <alignment horizontal="center" vertical="center"/>
    </xf>
    <xf numFmtId="165" fontId="15" fillId="0" borderId="4" xfId="13" applyNumberFormat="1" applyFill="1" applyBorder="1" applyAlignment="1" applyProtection="1">
      <alignment horizontal="center" vertical="center"/>
    </xf>
    <xf numFmtId="165" fontId="15" fillId="0" borderId="17" xfId="13" applyNumberFormat="1" applyBorder="1" applyAlignment="1">
      <alignment horizontal="center" vertical="center"/>
    </xf>
    <xf numFmtId="165" fontId="15" fillId="0" borderId="4" xfId="13" applyNumberFormat="1" applyFill="1" applyBorder="1" applyAlignment="1">
      <alignment horizontal="center" vertical="center"/>
    </xf>
    <xf numFmtId="165" fontId="15" fillId="0" borderId="147" xfId="13" applyNumberFormat="1" applyBorder="1" applyAlignment="1">
      <alignment horizontal="center" vertical="center"/>
    </xf>
    <xf numFmtId="165" fontId="15" fillId="0" borderId="117" xfId="13" applyNumberFormat="1" applyBorder="1" applyAlignment="1" applyProtection="1">
      <alignment horizontal="center" vertical="center"/>
      <protection locked="0"/>
    </xf>
    <xf numFmtId="165" fontId="15" fillId="0" borderId="14" xfId="13" applyNumberFormat="1" applyBorder="1" applyAlignment="1" applyProtection="1">
      <alignment horizontal="center" vertical="center"/>
      <protection locked="0"/>
    </xf>
    <xf numFmtId="165" fontId="15" fillId="0" borderId="5" xfId="13" applyNumberFormat="1" applyFill="1" applyBorder="1" applyAlignment="1" applyProtection="1">
      <alignment horizontal="center" vertical="center"/>
      <protection locked="0"/>
    </xf>
    <xf numFmtId="165" fontId="15" fillId="0" borderId="106" xfId="13" applyNumberFormat="1" applyBorder="1" applyAlignment="1" applyProtection="1">
      <alignment horizontal="center" vertical="center"/>
      <protection locked="0"/>
    </xf>
    <xf numFmtId="165" fontId="15" fillId="0" borderId="117" xfId="13" applyNumberFormat="1" applyBorder="1" applyAlignment="1">
      <alignment horizontal="center" vertical="center"/>
    </xf>
    <xf numFmtId="165" fontId="15" fillId="0" borderId="14" xfId="13" applyNumberFormat="1" applyBorder="1" applyAlignment="1">
      <alignment horizontal="center" vertical="center"/>
    </xf>
    <xf numFmtId="165" fontId="15" fillId="0" borderId="5" xfId="13" applyNumberFormat="1" applyFill="1" applyBorder="1" applyAlignment="1">
      <alignment horizontal="center" vertical="center"/>
    </xf>
    <xf numFmtId="165" fontId="15" fillId="0" borderId="106" xfId="13" applyNumberFormat="1" applyBorder="1" applyAlignment="1">
      <alignment horizontal="center" vertical="center"/>
    </xf>
    <xf numFmtId="165" fontId="15" fillId="0" borderId="118" xfId="13" applyNumberFormat="1" applyBorder="1" applyAlignment="1" applyProtection="1">
      <alignment horizontal="center" vertical="center"/>
      <protection locked="0"/>
    </xf>
    <xf numFmtId="165" fontId="15" fillId="0" borderId="111" xfId="13" applyNumberFormat="1" applyBorder="1" applyAlignment="1" applyProtection="1">
      <alignment horizontal="center" vertical="center"/>
      <protection locked="0"/>
    </xf>
    <xf numFmtId="165" fontId="15" fillId="0" borderId="107" xfId="13" applyNumberFormat="1" applyFill="1" applyBorder="1" applyAlignment="1" applyProtection="1">
      <alignment horizontal="center" vertical="center"/>
      <protection locked="0"/>
    </xf>
    <xf numFmtId="165" fontId="15" fillId="0" borderId="112" xfId="13" applyNumberFormat="1" applyBorder="1" applyAlignment="1" applyProtection="1">
      <alignment horizontal="center" vertical="center"/>
      <protection locked="0"/>
    </xf>
    <xf numFmtId="0" fontId="18" fillId="0" borderId="168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9" fillId="0" borderId="29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65" fontId="19" fillId="0" borderId="167" xfId="0" applyNumberFormat="1" applyFont="1" applyBorder="1" applyAlignment="1">
      <alignment horizontal="center" vertical="center"/>
    </xf>
    <xf numFmtId="165" fontId="18" fillId="0" borderId="53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8" xfId="0" applyBorder="1" applyAlignment="1">
      <alignment horizontal="center"/>
    </xf>
    <xf numFmtId="9" fontId="0" fillId="0" borderId="58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0" fontId="0" fillId="0" borderId="0" xfId="0" applyFill="1" applyBorder="1" applyAlignment="1"/>
    <xf numFmtId="0" fontId="0" fillId="0" borderId="167" xfId="0" applyBorder="1" applyAlignment="1">
      <alignment horizontal="center"/>
    </xf>
    <xf numFmtId="0" fontId="0" fillId="15" borderId="15" xfId="0" applyFill="1" applyBorder="1"/>
    <xf numFmtId="0" fontId="18" fillId="0" borderId="33" xfId="0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19" fillId="0" borderId="73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100" xfId="0" applyBorder="1" applyAlignment="1">
      <alignment horizontal="center"/>
    </xf>
    <xf numFmtId="165" fontId="19" fillId="0" borderId="8" xfId="0" applyNumberFormat="1" applyFont="1" applyBorder="1" applyAlignment="1">
      <alignment horizontal="center" vertical="center"/>
    </xf>
    <xf numFmtId="165" fontId="19" fillId="0" borderId="73" xfId="0" applyNumberFormat="1" applyFon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73" xfId="0" applyNumberFormat="1" applyBorder="1" applyAlignment="1">
      <alignment horizontal="center" vertical="center"/>
    </xf>
    <xf numFmtId="0" fontId="18" fillId="0" borderId="177" xfId="0" applyFont="1" applyBorder="1"/>
    <xf numFmtId="0" fontId="0" fillId="0" borderId="79" xfId="0" applyFill="1" applyBorder="1"/>
    <xf numFmtId="165" fontId="0" fillId="0" borderId="0" xfId="0" applyNumberFormat="1" applyBorder="1"/>
    <xf numFmtId="9" fontId="0" fillId="0" borderId="0" xfId="0" applyNumberFormat="1" applyBorder="1"/>
    <xf numFmtId="0" fontId="0" fillId="0" borderId="0" xfId="0" applyFont="1" applyFill="1" applyBorder="1" applyAlignment="1">
      <alignment wrapText="1"/>
    </xf>
    <xf numFmtId="0" fontId="0" fillId="0" borderId="9" xfId="0" applyFont="1" applyFill="1" applyBorder="1" applyAlignment="1">
      <alignment wrapText="1"/>
    </xf>
    <xf numFmtId="165" fontId="19" fillId="0" borderId="87" xfId="0" applyNumberFormat="1" applyFont="1" applyBorder="1" applyAlignment="1">
      <alignment horizontal="center"/>
    </xf>
    <xf numFmtId="0" fontId="0" fillId="0" borderId="134" xfId="0" applyBorder="1" applyAlignment="1">
      <alignment horizontal="center"/>
    </xf>
    <xf numFmtId="0" fontId="0" fillId="0" borderId="82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87" xfId="0" applyNumberFormat="1" applyBorder="1" applyAlignment="1">
      <alignment horizontal="center" vertical="center"/>
    </xf>
    <xf numFmtId="165" fontId="19" fillId="0" borderId="87" xfId="0" applyNumberFormat="1" applyFont="1" applyBorder="1" applyAlignment="1">
      <alignment horizontal="center" vertical="center"/>
    </xf>
    <xf numFmtId="0" fontId="0" fillId="15" borderId="25" xfId="0" applyFill="1" applyBorder="1"/>
    <xf numFmtId="0" fontId="0" fillId="0" borderId="15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1" fontId="18" fillId="0" borderId="8" xfId="0" applyNumberFormat="1" applyFont="1" applyBorder="1"/>
    <xf numFmtId="179" fontId="19" fillId="0" borderId="73" xfId="0" applyNumberFormat="1" applyFont="1" applyBorder="1" applyAlignment="1">
      <alignment horizontal="center" vertical="center"/>
    </xf>
    <xf numFmtId="9" fontId="0" fillId="0" borderId="73" xfId="0" applyNumberForma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79" fontId="19" fillId="0" borderId="87" xfId="0" applyNumberFormat="1" applyFont="1" applyBorder="1" applyAlignment="1">
      <alignment horizontal="center" vertical="center"/>
    </xf>
    <xf numFmtId="9" fontId="0" fillId="0" borderId="87" xfId="0" applyNumberForma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9" fontId="0" fillId="0" borderId="89" xfId="0" applyNumberFormat="1" applyBorder="1" applyAlignment="1">
      <alignment horizontal="center"/>
    </xf>
    <xf numFmtId="165" fontId="19" fillId="0" borderId="135" xfId="0" applyNumberFormat="1" applyFont="1" applyBorder="1" applyAlignment="1">
      <alignment horizontal="center" vertical="center"/>
    </xf>
    <xf numFmtId="165" fontId="19" fillId="0" borderId="72" xfId="0" applyNumberFormat="1" applyFont="1" applyBorder="1" applyAlignment="1">
      <alignment horizontal="center" vertical="center"/>
    </xf>
    <xf numFmtId="165" fontId="18" fillId="0" borderId="74" xfId="0" applyNumberFormat="1" applyFont="1" applyBorder="1"/>
    <xf numFmtId="172" fontId="0" fillId="0" borderId="92" xfId="0" applyNumberFormat="1" applyBorder="1" applyAlignment="1">
      <alignment horizontal="center" vertical="center"/>
    </xf>
    <xf numFmtId="172" fontId="0" fillId="0" borderId="72" xfId="0" applyNumberFormat="1" applyBorder="1" applyAlignment="1">
      <alignment horizontal="center" vertical="center"/>
    </xf>
    <xf numFmtId="172" fontId="0" fillId="0" borderId="74" xfId="0" applyNumberFormat="1" applyBorder="1" applyAlignment="1">
      <alignment horizontal="center" vertical="center"/>
    </xf>
    <xf numFmtId="3" fontId="0" fillId="0" borderId="89" xfId="0" applyNumberFormat="1" applyBorder="1" applyAlignment="1">
      <alignment horizontal="center"/>
    </xf>
    <xf numFmtId="9" fontId="0" fillId="0" borderId="92" xfId="0" applyNumberFormat="1" applyBorder="1" applyAlignment="1">
      <alignment horizontal="center" vertical="top"/>
    </xf>
    <xf numFmtId="9" fontId="0" fillId="0" borderId="74" xfId="0" applyNumberFormat="1" applyBorder="1" applyAlignment="1">
      <alignment horizontal="center" vertical="top"/>
    </xf>
    <xf numFmtId="0" fontId="0" fillId="15" borderId="8" xfId="0" applyFill="1" applyBorder="1"/>
    <xf numFmtId="0" fontId="0" fillId="15" borderId="8" xfId="0" applyFill="1" applyBorder="1" applyAlignment="1">
      <alignment horizontal="center"/>
    </xf>
    <xf numFmtId="179" fontId="13" fillId="0" borderId="72" xfId="0" applyNumberFormat="1" applyFont="1" applyBorder="1" applyAlignment="1">
      <alignment horizontal="center" vertical="center"/>
    </xf>
    <xf numFmtId="188" fontId="0" fillId="0" borderId="72" xfId="0" applyNumberFormat="1" applyFont="1" applyBorder="1" applyAlignment="1">
      <alignment horizontal="center" vertical="center"/>
    </xf>
    <xf numFmtId="179" fontId="19" fillId="0" borderId="7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9" fontId="0" fillId="0" borderId="97" xfId="0" applyNumberFormat="1" applyFont="1" applyBorder="1" applyAlignment="1">
      <alignment horizontal="center" vertical="center"/>
    </xf>
    <xf numFmtId="179" fontId="0" fillId="0" borderId="68" xfId="0" applyNumberFormat="1" applyFont="1" applyBorder="1" applyAlignment="1">
      <alignment horizontal="center" vertical="center"/>
    </xf>
    <xf numFmtId="0" fontId="0" fillId="0" borderId="98" xfId="0" applyFont="1" applyBorder="1" applyAlignment="1">
      <alignment horizontal="left" vertical="center"/>
    </xf>
    <xf numFmtId="0" fontId="0" fillId="0" borderId="76" xfId="0" applyFont="1" applyBorder="1" applyAlignment="1">
      <alignment horizontal="center" vertical="center"/>
    </xf>
    <xf numFmtId="179" fontId="19" fillId="0" borderId="92" xfId="0" applyNumberFormat="1" applyFont="1" applyBorder="1"/>
    <xf numFmtId="0" fontId="0" fillId="15" borderId="93" xfId="0" applyFill="1" applyBorder="1"/>
    <xf numFmtId="179" fontId="19" fillId="0" borderId="72" xfId="0" applyNumberFormat="1" applyFont="1" applyBorder="1"/>
    <xf numFmtId="0" fontId="0" fillId="15" borderId="100" xfId="0" applyFill="1" applyBorder="1"/>
    <xf numFmtId="0" fontId="0" fillId="15" borderId="73" xfId="0" applyFill="1" applyBorder="1"/>
    <xf numFmtId="179" fontId="19" fillId="0" borderId="74" xfId="0" applyNumberFormat="1" applyFont="1" applyBorder="1"/>
    <xf numFmtId="188" fontId="0" fillId="0" borderId="72" xfId="0" applyNumberFormat="1" applyFont="1" applyBorder="1"/>
    <xf numFmtId="187" fontId="19" fillId="0" borderId="72" xfId="0" applyNumberFormat="1" applyFont="1" applyBorder="1"/>
    <xf numFmtId="179" fontId="19" fillId="0" borderId="191" xfId="0" applyNumberFormat="1" applyFont="1" applyBorder="1" applyAlignment="1">
      <alignment horizontal="center" vertical="center"/>
    </xf>
    <xf numFmtId="0" fontId="0" fillId="0" borderId="76" xfId="0" applyFill="1" applyBorder="1"/>
    <xf numFmtId="0" fontId="0" fillId="0" borderId="67" xfId="0" applyBorder="1" applyAlignment="1">
      <alignment horizontal="center"/>
    </xf>
    <xf numFmtId="0" fontId="0" fillId="15" borderId="87" xfId="0" applyFill="1" applyBorder="1" applyAlignment="1">
      <alignment horizontal="center" vertical="center"/>
    </xf>
    <xf numFmtId="0" fontId="0" fillId="15" borderId="90" xfId="0" applyFill="1" applyBorder="1" applyAlignment="1">
      <alignment vertical="center"/>
    </xf>
    <xf numFmtId="0" fontId="0" fillId="15" borderId="8" xfId="0" applyFill="1" applyBorder="1" applyAlignment="1">
      <alignment vertical="center"/>
    </xf>
    <xf numFmtId="183" fontId="17" fillId="0" borderId="81" xfId="0" applyNumberFormat="1" applyFont="1" applyBorder="1" applyAlignment="1">
      <alignment horizontal="center" vertical="center"/>
    </xf>
    <xf numFmtId="183" fontId="17" fillId="0" borderId="87" xfId="0" applyNumberFormat="1" applyFont="1" applyBorder="1" applyAlignment="1">
      <alignment horizontal="center" vertical="center"/>
    </xf>
    <xf numFmtId="183" fontId="0" fillId="0" borderId="80" xfId="0" applyNumberFormat="1" applyBorder="1"/>
    <xf numFmtId="183" fontId="0" fillId="0" borderId="8" xfId="0" applyNumberFormat="1" applyBorder="1"/>
    <xf numFmtId="183" fontId="21" fillId="0" borderId="8" xfId="0" applyNumberFormat="1" applyFont="1" applyBorder="1"/>
    <xf numFmtId="183" fontId="19" fillId="0" borderId="8" xfId="0" applyNumberFormat="1" applyFont="1" applyBorder="1"/>
    <xf numFmtId="171" fontId="21" fillId="0" borderId="82" xfId="0" applyNumberFormat="1" applyFont="1" applyBorder="1"/>
    <xf numFmtId="171" fontId="21" fillId="0" borderId="8" xfId="0" applyNumberFormat="1" applyFont="1" applyBorder="1"/>
    <xf numFmtId="171" fontId="21" fillId="0" borderId="68" xfId="0" applyNumberFormat="1" applyFont="1" applyBorder="1"/>
    <xf numFmtId="171" fontId="19" fillId="0" borderId="82" xfId="0" applyNumberFormat="1" applyFont="1" applyBorder="1"/>
    <xf numFmtId="171" fontId="19" fillId="0" borderId="68" xfId="0" applyNumberFormat="1" applyFont="1" applyBorder="1"/>
    <xf numFmtId="171" fontId="0" fillId="0" borderId="95" xfId="0" applyNumberFormat="1" applyBorder="1"/>
    <xf numFmtId="171" fontId="0" fillId="0" borderId="73" xfId="0" applyNumberFormat="1" applyBorder="1"/>
    <xf numFmtId="171" fontId="0" fillId="0" borderId="75" xfId="0" applyNumberFormat="1" applyBorder="1"/>
    <xf numFmtId="189" fontId="0" fillId="0" borderId="82" xfId="0" applyNumberFormat="1" applyBorder="1"/>
    <xf numFmtId="189" fontId="0" fillId="0" borderId="8" xfId="0" applyNumberFormat="1" applyBorder="1"/>
    <xf numFmtId="189" fontId="0" fillId="0" borderId="68" xfId="0" applyNumberFormat="1" applyBorder="1"/>
    <xf numFmtId="184" fontId="17" fillId="0" borderId="91" xfId="0" applyNumberFormat="1" applyFont="1" applyBorder="1" applyAlignment="1">
      <alignment horizontal="center" vertical="center"/>
    </xf>
    <xf numFmtId="184" fontId="17" fillId="0" borderId="97" xfId="0" applyNumberFormat="1" applyFont="1" applyBorder="1" applyAlignment="1">
      <alignment horizontal="center" vertical="center"/>
    </xf>
    <xf numFmtId="184" fontId="0" fillId="0" borderId="92" xfId="0" applyNumberFormat="1" applyBorder="1"/>
    <xf numFmtId="184" fontId="17" fillId="0" borderId="94" xfId="0" applyNumberFormat="1" applyFont="1" applyBorder="1" applyAlignment="1">
      <alignment horizontal="center" vertical="center"/>
    </xf>
    <xf numFmtId="184" fontId="17" fillId="0" borderId="82" xfId="0" applyNumberFormat="1" applyFont="1" applyBorder="1" applyAlignment="1">
      <alignment horizontal="center" vertical="center"/>
    </xf>
    <xf numFmtId="0" fontId="0" fillId="15" borderId="23" xfId="0" applyFill="1" applyBorder="1"/>
    <xf numFmtId="0" fontId="0" fillId="15" borderId="21" xfId="0" applyFill="1" applyBorder="1"/>
    <xf numFmtId="0" fontId="0" fillId="15" borderId="20" xfId="0" applyFill="1" applyBorder="1"/>
    <xf numFmtId="9" fontId="15" fillId="0" borderId="8" xfId="16" applyBorder="1" applyAlignment="1">
      <alignment horizontal="center" vertical="center"/>
    </xf>
    <xf numFmtId="0" fontId="0" fillId="15" borderId="16" xfId="0" applyFill="1" applyBorder="1"/>
    <xf numFmtId="4" fontId="0" fillId="0" borderId="181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38" xfId="0" applyBorder="1" applyAlignment="1">
      <alignment horizontal="left"/>
    </xf>
    <xf numFmtId="183" fontId="15" fillId="0" borderId="204" xfId="13" applyNumberFormat="1" applyBorder="1" applyAlignment="1">
      <alignment horizontal="center"/>
    </xf>
    <xf numFmtId="183" fontId="18" fillId="0" borderId="207" xfId="0" applyNumberFormat="1" applyFont="1" applyBorder="1" applyAlignment="1">
      <alignment horizontal="center"/>
    </xf>
    <xf numFmtId="177" fontId="0" fillId="0" borderId="210" xfId="0" applyNumberFormat="1" applyBorder="1" applyAlignment="1">
      <alignment horizontal="center"/>
    </xf>
    <xf numFmtId="0" fontId="0" fillId="15" borderId="26" xfId="0" applyFill="1" applyBorder="1"/>
    <xf numFmtId="0" fontId="0" fillId="15" borderId="8" xfId="0" applyFont="1" applyFill="1" applyBorder="1"/>
    <xf numFmtId="171" fontId="15" fillId="0" borderId="8" xfId="13" applyBorder="1"/>
    <xf numFmtId="183" fontId="15" fillId="0" borderId="8" xfId="13" applyNumberFormat="1" applyBorder="1" applyAlignment="1">
      <alignment horizontal="center"/>
    </xf>
    <xf numFmtId="183" fontId="15" fillId="0" borderId="8" xfId="13" applyNumberFormat="1" applyBorder="1"/>
    <xf numFmtId="171" fontId="15" fillId="0" borderId="8" xfId="13" applyNumberFormat="1" applyBorder="1"/>
    <xf numFmtId="0" fontId="0" fillId="15" borderId="8" xfId="0" applyFont="1" applyFill="1" applyBorder="1" applyAlignment="1">
      <alignment horizontal="center"/>
    </xf>
    <xf numFmtId="180" fontId="0" fillId="0" borderId="0" xfId="16" applyNumberFormat="1" applyFont="1" applyAlignment="1">
      <alignment horizontal="center"/>
    </xf>
    <xf numFmtId="9" fontId="0" fillId="0" borderId="0" xfId="16" applyFont="1" applyAlignment="1">
      <alignment horizontal="center"/>
    </xf>
    <xf numFmtId="183" fontId="0" fillId="0" borderId="8" xfId="13" applyNumberFormat="1" applyFont="1" applyBorder="1"/>
    <xf numFmtId="183" fontId="0" fillId="0" borderId="8" xfId="13" applyNumberFormat="1" applyFont="1" applyBorder="1" applyAlignment="1">
      <alignment horizontal="center"/>
    </xf>
    <xf numFmtId="0" fontId="21" fillId="15" borderId="15" xfId="0" applyFont="1" applyFill="1" applyBorder="1" applyAlignment="1">
      <alignment horizontal="center" vertical="center"/>
    </xf>
    <xf numFmtId="0" fontId="0" fillId="15" borderId="180" xfId="0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186" fontId="0" fillId="0" borderId="58" xfId="0" applyNumberFormat="1" applyBorder="1" applyAlignment="1">
      <alignment horizontal="center" vertical="center"/>
    </xf>
    <xf numFmtId="185" fontId="0" fillId="0" borderId="52" xfId="0" applyNumberFormat="1" applyBorder="1" applyAlignment="1">
      <alignment horizontal="center" vertical="center"/>
    </xf>
    <xf numFmtId="9" fontId="0" fillId="0" borderId="52" xfId="0" applyNumberFormat="1" applyBorder="1" applyAlignment="1">
      <alignment horizontal="center" vertical="center"/>
    </xf>
    <xf numFmtId="186" fontId="0" fillId="0" borderId="53" xfId="0" applyNumberFormat="1" applyBorder="1" applyAlignment="1">
      <alignment horizontal="center" vertical="center"/>
    </xf>
    <xf numFmtId="0" fontId="0" fillId="15" borderId="49" xfId="0" applyFill="1" applyBorder="1" applyAlignment="1">
      <alignment horizontal="center" vertical="center"/>
    </xf>
    <xf numFmtId="0" fontId="0" fillId="15" borderId="50" xfId="0" applyFill="1" applyBorder="1" applyAlignment="1">
      <alignment horizontal="center" vertical="center"/>
    </xf>
    <xf numFmtId="186" fontId="18" fillId="0" borderId="8" xfId="0" applyNumberFormat="1" applyFont="1" applyBorder="1"/>
    <xf numFmtId="0" fontId="34" fillId="0" borderId="0" xfId="0" applyFont="1" applyFill="1" applyAlignment="1">
      <alignment horizontal="center" vertical="center" wrapText="1"/>
    </xf>
    <xf numFmtId="183" fontId="15" fillId="0" borderId="8" xfId="13" applyNumberFormat="1" applyBorder="1" applyAlignment="1">
      <alignment horizontal="center" vertical="center"/>
    </xf>
    <xf numFmtId="183" fontId="0" fillId="0" borderId="8" xfId="0" applyNumberFormat="1" applyBorder="1" applyAlignment="1">
      <alignment horizontal="center" vertical="center"/>
    </xf>
    <xf numFmtId="183" fontId="0" fillId="0" borderId="8" xfId="0" applyNumberFormat="1" applyBorder="1" applyAlignment="1">
      <alignment horizontal="center"/>
    </xf>
    <xf numFmtId="180" fontId="15" fillId="0" borderId="0" xfId="16" applyNumberFormat="1" applyAlignment="1">
      <alignment horizontal="center"/>
    </xf>
    <xf numFmtId="9" fontId="15" fillId="0" borderId="0" xfId="16" applyAlignment="1">
      <alignment horizontal="center"/>
    </xf>
    <xf numFmtId="185" fontId="0" fillId="15" borderId="8" xfId="0" applyNumberFormat="1" applyFill="1" applyBorder="1" applyAlignment="1">
      <alignment horizontal="center" vertical="center"/>
    </xf>
    <xf numFmtId="0" fontId="0" fillId="15" borderId="68" xfId="0" applyFill="1" applyBorder="1" applyAlignment="1">
      <alignment horizontal="left"/>
    </xf>
    <xf numFmtId="0" fontId="0" fillId="15" borderId="8" xfId="0" applyFill="1" applyBorder="1" applyAlignment="1">
      <alignment horizontal="left"/>
    </xf>
    <xf numFmtId="183" fontId="15" fillId="0" borderId="8" xfId="13" applyNumberFormat="1" applyFill="1" applyBorder="1" applyAlignment="1">
      <alignment horizontal="center" vertical="center" wrapText="1"/>
    </xf>
    <xf numFmtId="183" fontId="18" fillId="0" borderId="8" xfId="0" applyNumberFormat="1" applyFont="1" applyBorder="1"/>
    <xf numFmtId="0" fontId="0" fillId="0" borderId="171" xfId="0" applyBorder="1"/>
    <xf numFmtId="10" fontId="0" fillId="0" borderId="8" xfId="0" applyNumberFormat="1" applyBorder="1"/>
    <xf numFmtId="169" fontId="18" fillId="0" borderId="8" xfId="0" applyNumberFormat="1" applyFont="1" applyBorder="1"/>
    <xf numFmtId="0" fontId="0" fillId="15" borderId="8" xfId="0" applyFill="1" applyBorder="1" applyAlignment="1">
      <alignment horizontal="center" vertical="center"/>
    </xf>
    <xf numFmtId="183" fontId="19" fillId="0" borderId="8" xfId="0" applyNumberFormat="1" applyFont="1" applyBorder="1" applyAlignment="1">
      <alignment horizontal="center" vertical="center"/>
    </xf>
    <xf numFmtId="183" fontId="18" fillId="0" borderId="8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183" fontId="19" fillId="0" borderId="92" xfId="0" applyNumberFormat="1" applyFont="1" applyBorder="1"/>
    <xf numFmtId="183" fontId="19" fillId="0" borderId="72" xfId="0" applyNumberFormat="1" applyFont="1" applyBorder="1"/>
    <xf numFmtId="183" fontId="0" fillId="0" borderId="72" xfId="0" applyNumberFormat="1" applyBorder="1"/>
    <xf numFmtId="183" fontId="18" fillId="0" borderId="74" xfId="0" applyNumberFormat="1" applyFont="1" applyBorder="1"/>
    <xf numFmtId="173" fontId="0" fillId="0" borderId="8" xfId="0" applyNumberFormat="1" applyBorder="1"/>
    <xf numFmtId="0" fontId="27" fillId="0" borderId="0" xfId="0" applyFont="1" applyFill="1"/>
    <xf numFmtId="0" fontId="0" fillId="0" borderId="8" xfId="0" applyFill="1" applyBorder="1"/>
    <xf numFmtId="0" fontId="28" fillId="0" borderId="0" xfId="0" applyFont="1" applyFill="1"/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7" fillId="0" borderId="6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27" fillId="0" borderId="0" xfId="0" applyFont="1" applyFill="1" applyBorder="1" applyAlignment="1">
      <alignment vertical="center" wrapText="1"/>
    </xf>
    <xf numFmtId="9" fontId="27" fillId="0" borderId="0" xfId="0" applyNumberFormat="1" applyFont="1" applyFill="1" applyBorder="1"/>
    <xf numFmtId="0" fontId="27" fillId="0" borderId="76" xfId="0" applyFont="1" applyFill="1" applyBorder="1" applyAlignment="1">
      <alignment vertical="center"/>
    </xf>
    <xf numFmtId="0" fontId="27" fillId="0" borderId="9" xfId="0" applyFont="1" applyFill="1" applyBorder="1"/>
    <xf numFmtId="0" fontId="27" fillId="15" borderId="8" xfId="0" applyFont="1" applyFill="1" applyBorder="1" applyAlignment="1">
      <alignment horizontal="left"/>
    </xf>
    <xf numFmtId="0" fontId="27" fillId="15" borderId="8" xfId="0" applyFont="1" applyFill="1" applyBorder="1" applyAlignment="1">
      <alignment horizontal="center" vertical="center"/>
    </xf>
    <xf numFmtId="9" fontId="27" fillId="0" borderId="8" xfId="0" applyNumberFormat="1" applyFont="1" applyFill="1" applyBorder="1" applyAlignment="1">
      <alignment horizontal="center"/>
    </xf>
    <xf numFmtId="0" fontId="0" fillId="15" borderId="8" xfId="0" applyFill="1" applyBorder="1" applyAlignment="1">
      <alignment horizontal="center" vertical="center" wrapText="1"/>
    </xf>
    <xf numFmtId="3" fontId="0" fillId="15" borderId="8" xfId="0" applyNumberFormat="1" applyFill="1" applyBorder="1" applyAlignment="1">
      <alignment horizontal="center" vertical="center"/>
    </xf>
    <xf numFmtId="0" fontId="27" fillId="15" borderId="8" xfId="0" applyFont="1" applyFill="1" applyBorder="1" applyAlignment="1">
      <alignment horizontal="center"/>
    </xf>
    <xf numFmtId="9" fontId="15" fillId="0" borderId="8" xfId="16" applyFill="1" applyBorder="1" applyAlignment="1">
      <alignment horizontal="center" vertical="center"/>
    </xf>
    <xf numFmtId="9" fontId="15" fillId="0" borderId="90" xfId="16" applyFill="1" applyBorder="1" applyAlignment="1">
      <alignment horizontal="center" vertical="center"/>
    </xf>
    <xf numFmtId="9" fontId="15" fillId="0" borderId="87" xfId="16" applyFill="1" applyBorder="1" applyAlignment="1">
      <alignment horizontal="center" vertical="center"/>
    </xf>
    <xf numFmtId="0" fontId="27" fillId="15" borderId="8" xfId="0" applyFont="1" applyFill="1" applyBorder="1"/>
    <xf numFmtId="0" fontId="27" fillId="0" borderId="8" xfId="0" applyFont="1" applyFill="1" applyBorder="1" applyAlignment="1">
      <alignment horizontal="center" vertical="center"/>
    </xf>
    <xf numFmtId="0" fontId="27" fillId="15" borderId="8" xfId="0" applyFont="1" applyFill="1" applyBorder="1" applyAlignment="1">
      <alignment horizontal="center" vertical="center" wrapText="1"/>
    </xf>
    <xf numFmtId="171" fontId="27" fillId="0" borderId="0" xfId="0" applyNumberFormat="1" applyFont="1" applyFill="1" applyBorder="1"/>
    <xf numFmtId="0" fontId="27" fillId="15" borderId="87" xfId="0" applyFont="1" applyFill="1" applyBorder="1"/>
    <xf numFmtId="178" fontId="27" fillId="0" borderId="8" xfId="0" applyNumberFormat="1" applyFont="1" applyFill="1" applyBorder="1" applyAlignment="1">
      <alignment horizontal="center" vertical="center"/>
    </xf>
    <xf numFmtId="183" fontId="27" fillId="0" borderId="8" xfId="0" applyNumberFormat="1" applyFont="1" applyFill="1" applyBorder="1" applyAlignment="1">
      <alignment horizontal="center" vertical="center"/>
    </xf>
    <xf numFmtId="183" fontId="27" fillId="0" borderId="8" xfId="0" applyNumberFormat="1" applyFont="1" applyFill="1" applyBorder="1"/>
    <xf numFmtId="183" fontId="28" fillId="0" borderId="8" xfId="0" applyNumberFormat="1" applyFont="1" applyFill="1" applyBorder="1" applyAlignment="1">
      <alignment horizontal="center" vertical="center"/>
    </xf>
    <xf numFmtId="183" fontId="0" fillId="0" borderId="8" xfId="0" applyNumberFormat="1" applyFont="1" applyBorder="1"/>
    <xf numFmtId="0" fontId="0" fillId="0" borderId="0" xfId="0" applyFont="1" applyFill="1" applyBorder="1" applyAlignment="1">
      <alignment horizontal="center" vertical="center" wrapText="1"/>
    </xf>
    <xf numFmtId="183" fontId="0" fillId="0" borderId="8" xfId="0" applyNumberFormat="1" applyFill="1" applyBorder="1" applyAlignment="1">
      <alignment horizontal="center" vertical="center"/>
    </xf>
    <xf numFmtId="183" fontId="29" fillId="0" borderId="8" xfId="0" applyNumberFormat="1" applyFont="1" applyFill="1" applyBorder="1" applyAlignment="1">
      <alignment horizontal="center" vertical="center"/>
    </xf>
    <xf numFmtId="178" fontId="29" fillId="0" borderId="8" xfId="0" applyNumberFormat="1" applyFont="1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4" fontId="15" fillId="0" borderId="8" xfId="12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9" fontId="15" fillId="0" borderId="0" xfId="16" applyFill="1" applyBorder="1" applyAlignment="1">
      <alignment horizontal="center" vertical="center"/>
    </xf>
    <xf numFmtId="43" fontId="0" fillId="0" borderId="8" xfId="0" applyNumberForma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0" fillId="0" borderId="8" xfId="0" applyFont="1" applyFill="1" applyBorder="1"/>
    <xf numFmtId="0" fontId="13" fillId="0" borderId="8" xfId="0" applyFont="1" applyFill="1" applyBorder="1"/>
    <xf numFmtId="0" fontId="13" fillId="15" borderId="8" xfId="0" applyFont="1" applyFill="1" applyBorder="1" applyAlignment="1">
      <alignment horizontal="center"/>
    </xf>
    <xf numFmtId="0" fontId="13" fillId="15" borderId="8" xfId="0" applyFont="1" applyFill="1" applyBorder="1"/>
    <xf numFmtId="0" fontId="13" fillId="19" borderId="3" xfId="0" applyFont="1" applyFill="1" applyBorder="1" applyAlignment="1">
      <alignment horizontal="center"/>
    </xf>
    <xf numFmtId="9" fontId="23" fillId="0" borderId="8" xfId="16" applyNumberFormat="1" applyFont="1" applyFill="1" applyBorder="1" applyAlignment="1" applyProtection="1">
      <alignment horizontal="center"/>
      <protection locked="0"/>
    </xf>
    <xf numFmtId="183" fontId="23" fillId="0" borderId="8" xfId="0" applyNumberFormat="1" applyFont="1" applyFill="1" applyBorder="1" applyAlignment="1"/>
    <xf numFmtId="0" fontId="13" fillId="0" borderId="93" xfId="0" applyFont="1" applyFill="1" applyBorder="1" applyAlignment="1">
      <alignment horizontal="center"/>
    </xf>
    <xf numFmtId="0" fontId="13" fillId="15" borderId="72" xfId="0" applyFont="1" applyFill="1" applyBorder="1" applyAlignment="1">
      <alignment horizontal="center"/>
    </xf>
    <xf numFmtId="0" fontId="13" fillId="15" borderId="93" xfId="0" applyFont="1" applyFill="1" applyBorder="1" applyAlignment="1">
      <alignment horizontal="center"/>
    </xf>
    <xf numFmtId="0" fontId="0" fillId="15" borderId="72" xfId="0" applyFont="1" applyFill="1" applyBorder="1" applyAlignment="1">
      <alignment horizontal="center"/>
    </xf>
    <xf numFmtId="0" fontId="0" fillId="15" borderId="93" xfId="0" applyFont="1" applyFill="1" applyBorder="1"/>
    <xf numFmtId="0" fontId="0" fillId="15" borderId="93" xfId="0" applyFont="1" applyFill="1" applyBorder="1" applyAlignment="1"/>
    <xf numFmtId="183" fontId="23" fillId="0" borderId="72" xfId="0" applyNumberFormat="1" applyFont="1" applyFill="1" applyBorder="1" applyAlignment="1"/>
    <xf numFmtId="0" fontId="13" fillId="15" borderId="100" xfId="0" applyFont="1" applyFill="1" applyBorder="1"/>
    <xf numFmtId="183" fontId="25" fillId="11" borderId="73" xfId="0" applyNumberFormat="1" applyFont="1" applyFill="1" applyBorder="1" applyAlignment="1" applyProtection="1">
      <alignment horizontal="center"/>
      <protection locked="0"/>
    </xf>
    <xf numFmtId="183" fontId="25" fillId="11" borderId="74" xfId="0" applyNumberFormat="1" applyFont="1" applyFill="1" applyBorder="1" applyAlignment="1" applyProtection="1">
      <alignment horizontal="center"/>
      <protection locked="0"/>
    </xf>
    <xf numFmtId="0" fontId="13" fillId="15" borderId="93" xfId="0" applyFont="1" applyFill="1" applyBorder="1"/>
    <xf numFmtId="0" fontId="0" fillId="0" borderId="93" xfId="0" applyFill="1" applyBorder="1" applyAlignment="1"/>
    <xf numFmtId="9" fontId="23" fillId="0" borderId="72" xfId="16" applyNumberFormat="1" applyFont="1" applyFill="1" applyBorder="1" applyAlignment="1" applyProtection="1">
      <alignment horizontal="center"/>
      <protection locked="0"/>
    </xf>
    <xf numFmtId="0" fontId="0" fillId="0" borderId="10" xfId="0" applyFill="1" applyBorder="1"/>
    <xf numFmtId="9" fontId="0" fillId="0" borderId="11" xfId="0" applyNumberFormat="1" applyFill="1" applyBorder="1"/>
    <xf numFmtId="9" fontId="0" fillId="0" borderId="125" xfId="0" applyNumberFormat="1" applyFill="1" applyBorder="1"/>
    <xf numFmtId="183" fontId="24" fillId="11" borderId="8" xfId="0" applyNumberFormat="1" applyFont="1" applyFill="1" applyBorder="1" applyAlignment="1" applyProtection="1">
      <alignment horizontal="center" vertical="center"/>
      <protection locked="0"/>
    </xf>
    <xf numFmtId="183" fontId="23" fillId="0" borderId="8" xfId="13" applyNumberFormat="1" applyFont="1" applyFill="1" applyBorder="1" applyAlignment="1" applyProtection="1">
      <alignment horizontal="center" vertical="center"/>
      <protection locked="0"/>
    </xf>
    <xf numFmtId="171" fontId="23" fillId="0" borderId="8" xfId="13" applyFont="1" applyFill="1" applyBorder="1" applyAlignment="1" applyProtection="1">
      <alignment horizontal="center" vertical="center"/>
      <protection locked="0"/>
    </xf>
    <xf numFmtId="9" fontId="23" fillId="0" borderId="8" xfId="16" applyNumberFormat="1" applyFont="1" applyFill="1" applyBorder="1" applyAlignment="1" applyProtection="1">
      <alignment horizontal="center" vertical="center"/>
      <protection locked="0"/>
    </xf>
    <xf numFmtId="0" fontId="13" fillId="0" borderId="99" xfId="0" applyFont="1" applyFill="1" applyBorder="1"/>
    <xf numFmtId="173" fontId="13" fillId="0" borderId="91" xfId="0" applyNumberFormat="1" applyFont="1" applyFill="1" applyBorder="1" applyAlignment="1">
      <alignment horizontal="center"/>
    </xf>
    <xf numFmtId="173" fontId="13" fillId="0" borderId="92" xfId="0" applyNumberFormat="1" applyFont="1" applyFill="1" applyBorder="1" applyAlignment="1">
      <alignment horizontal="center"/>
    </xf>
    <xf numFmtId="183" fontId="24" fillId="11" borderId="72" xfId="0" applyNumberFormat="1" applyFont="1" applyFill="1" applyBorder="1" applyAlignment="1" applyProtection="1">
      <alignment horizontal="center" vertical="center"/>
      <protection locked="0"/>
    </xf>
    <xf numFmtId="183" fontId="23" fillId="0" borderId="72" xfId="13" applyNumberFormat="1" applyFont="1" applyFill="1" applyBorder="1" applyAlignment="1" applyProtection="1">
      <alignment vertical="center"/>
      <protection locked="0"/>
    </xf>
    <xf numFmtId="0" fontId="13" fillId="0" borderId="93" xfId="0" applyFont="1" applyFill="1" applyBorder="1"/>
    <xf numFmtId="171" fontId="23" fillId="0" borderId="72" xfId="13" applyFont="1" applyFill="1" applyBorder="1" applyAlignment="1" applyProtection="1">
      <alignment horizontal="center" vertical="center"/>
      <protection locked="0"/>
    </xf>
    <xf numFmtId="9" fontId="23" fillId="0" borderId="72" xfId="16" applyNumberFormat="1" applyFont="1" applyFill="1" applyBorder="1" applyAlignment="1" applyProtection="1">
      <alignment horizontal="center" vertical="center"/>
      <protection locked="0"/>
    </xf>
    <xf numFmtId="9" fontId="23" fillId="0" borderId="73" xfId="16" applyNumberFormat="1" applyFont="1" applyFill="1" applyBorder="1" applyAlignment="1" applyProtection="1">
      <alignment horizontal="center" vertical="center"/>
      <protection locked="0"/>
    </xf>
    <xf numFmtId="9" fontId="23" fillId="0" borderId="74" xfId="16" applyNumberFormat="1" applyFont="1" applyFill="1" applyBorder="1" applyAlignment="1" applyProtection="1">
      <alignment horizontal="center" vertical="center"/>
      <protection locked="0"/>
    </xf>
    <xf numFmtId="171" fontId="27" fillId="11" borderId="8" xfId="0" applyNumberFormat="1" applyFont="1" applyFill="1" applyBorder="1" applyAlignment="1" applyProtection="1">
      <alignment horizontal="center"/>
      <protection locked="0"/>
    </xf>
    <xf numFmtId="172" fontId="27" fillId="11" borderId="8" xfId="0" applyNumberFormat="1" applyFont="1" applyFill="1" applyBorder="1" applyAlignment="1">
      <alignment horizontal="center"/>
    </xf>
    <xf numFmtId="171" fontId="28" fillId="11" borderId="8" xfId="0" applyNumberFormat="1" applyFont="1" applyFill="1" applyBorder="1" applyAlignment="1" applyProtection="1">
      <alignment horizontal="center"/>
      <protection locked="0"/>
    </xf>
    <xf numFmtId="171" fontId="0" fillId="0" borderId="8" xfId="13" applyFont="1" applyFill="1" applyBorder="1" applyAlignment="1" applyProtection="1">
      <alignment horizontal="center"/>
    </xf>
    <xf numFmtId="9" fontId="15" fillId="0" borderId="8" xfId="16" applyFill="1" applyBorder="1" applyAlignment="1" applyProtection="1">
      <alignment horizontal="center"/>
      <protection locked="0"/>
    </xf>
    <xf numFmtId="0" fontId="13" fillId="0" borderId="99" xfId="0" applyFont="1" applyFill="1" applyBorder="1" applyAlignment="1">
      <alignment horizontal="center"/>
    </xf>
    <xf numFmtId="0" fontId="13" fillId="0" borderId="91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center"/>
    </xf>
    <xf numFmtId="171" fontId="27" fillId="11" borderId="72" xfId="0" applyNumberFormat="1" applyFont="1" applyFill="1" applyBorder="1" applyProtection="1">
      <protection locked="0"/>
    </xf>
    <xf numFmtId="171" fontId="27" fillId="11" borderId="72" xfId="0" applyNumberFormat="1" applyFont="1" applyFill="1" applyBorder="1" applyAlignment="1" applyProtection="1">
      <alignment horizontal="center"/>
      <protection locked="0"/>
    </xf>
    <xf numFmtId="0" fontId="0" fillId="0" borderId="93" xfId="0" applyFont="1" applyFill="1" applyBorder="1"/>
    <xf numFmtId="172" fontId="27" fillId="11" borderId="72" xfId="0" applyNumberFormat="1" applyFont="1" applyFill="1" applyBorder="1"/>
    <xf numFmtId="171" fontId="28" fillId="11" borderId="72" xfId="0" applyNumberFormat="1" applyFont="1" applyFill="1" applyBorder="1" applyAlignment="1" applyProtection="1">
      <alignment horizontal="center"/>
      <protection locked="0"/>
    </xf>
    <xf numFmtId="171" fontId="0" fillId="0" borderId="72" xfId="13" applyFont="1" applyFill="1" applyBorder="1" applyAlignment="1" applyProtection="1">
      <alignment horizontal="center"/>
    </xf>
    <xf numFmtId="9" fontId="15" fillId="0" borderId="72" xfId="16" applyFill="1" applyBorder="1" applyAlignment="1" applyProtection="1">
      <alignment horizontal="center"/>
      <protection locked="0"/>
    </xf>
    <xf numFmtId="9" fontId="15" fillId="0" borderId="73" xfId="16" applyFill="1" applyBorder="1" applyAlignment="1" applyProtection="1">
      <alignment horizontal="center"/>
      <protection locked="0"/>
    </xf>
    <xf numFmtId="9" fontId="15" fillId="0" borderId="74" xfId="16" applyFill="1" applyBorder="1" applyAlignment="1" applyProtection="1">
      <alignment horizontal="center"/>
      <protection locked="0"/>
    </xf>
    <xf numFmtId="171" fontId="27" fillId="11" borderId="0" xfId="0" applyNumberFormat="1" applyFont="1" applyFill="1" applyBorder="1" applyAlignment="1" applyProtection="1">
      <alignment horizontal="center"/>
      <protection locked="0"/>
    </xf>
    <xf numFmtId="171" fontId="27" fillId="11" borderId="8" xfId="0" applyNumberFormat="1" applyFont="1" applyFill="1" applyBorder="1" applyAlignment="1">
      <alignment horizontal="center"/>
    </xf>
    <xf numFmtId="9" fontId="0" fillId="0" borderId="8" xfId="16" applyFont="1" applyFill="1" applyBorder="1" applyAlignment="1" applyProtection="1">
      <alignment horizontal="center"/>
      <protection locked="0"/>
    </xf>
    <xf numFmtId="171" fontId="27" fillId="11" borderId="72" xfId="0" applyNumberFormat="1" applyFont="1" applyFill="1" applyBorder="1" applyAlignment="1">
      <alignment horizontal="center"/>
    </xf>
    <xf numFmtId="9" fontId="0" fillId="0" borderId="72" xfId="16" applyFont="1" applyFill="1" applyBorder="1" applyAlignment="1" applyProtection="1">
      <alignment horizontal="center"/>
      <protection locked="0"/>
    </xf>
    <xf numFmtId="9" fontId="0" fillId="0" borderId="73" xfId="16" applyFont="1" applyFill="1" applyBorder="1" applyAlignment="1" applyProtection="1">
      <alignment horizontal="center"/>
      <protection locked="0"/>
    </xf>
    <xf numFmtId="9" fontId="0" fillId="0" borderId="74" xfId="16" applyFont="1" applyFill="1" applyBorder="1" applyAlignment="1" applyProtection="1">
      <alignment horizontal="center"/>
      <protection locked="0"/>
    </xf>
    <xf numFmtId="183" fontId="27" fillId="11" borderId="8" xfId="0" applyNumberFormat="1" applyFont="1" applyFill="1" applyBorder="1" applyAlignment="1" applyProtection="1">
      <alignment horizontal="center"/>
      <protection locked="0"/>
    </xf>
    <xf numFmtId="183" fontId="27" fillId="11" borderId="72" xfId="0" applyNumberFormat="1" applyFont="1" applyFill="1" applyBorder="1" applyAlignment="1" applyProtection="1">
      <alignment horizontal="center"/>
      <protection locked="0"/>
    </xf>
    <xf numFmtId="183" fontId="27" fillId="11" borderId="8" xfId="0" applyNumberFormat="1" applyFont="1" applyFill="1" applyBorder="1" applyAlignment="1" applyProtection="1">
      <alignment horizontal="center"/>
    </xf>
    <xf numFmtId="183" fontId="27" fillId="11" borderId="8" xfId="0" applyNumberFormat="1" applyFont="1" applyFill="1" applyBorder="1" applyAlignment="1">
      <alignment horizontal="center"/>
    </xf>
    <xf numFmtId="183" fontId="27" fillId="11" borderId="72" xfId="0" applyNumberFormat="1" applyFont="1" applyFill="1" applyBorder="1"/>
    <xf numFmtId="183" fontId="28" fillId="11" borderId="8" xfId="0" applyNumberFormat="1" applyFont="1" applyFill="1" applyBorder="1" applyAlignment="1" applyProtection="1">
      <alignment horizontal="center"/>
      <protection locked="0"/>
    </xf>
    <xf numFmtId="183" fontId="28" fillId="11" borderId="72" xfId="0" applyNumberFormat="1" applyFont="1" applyFill="1" applyBorder="1" applyAlignment="1" applyProtection="1">
      <alignment horizontal="center"/>
      <protection locked="0"/>
    </xf>
    <xf numFmtId="183" fontId="27" fillId="11" borderId="72" xfId="0" applyNumberFormat="1" applyFont="1" applyFill="1" applyBorder="1" applyAlignment="1">
      <alignment horizontal="center"/>
    </xf>
    <xf numFmtId="178" fontId="27" fillId="11" borderId="8" xfId="0" applyNumberFormat="1" applyFont="1" applyFill="1" applyBorder="1" applyAlignment="1" applyProtection="1">
      <alignment horizontal="center"/>
      <protection locked="0"/>
    </xf>
    <xf numFmtId="171" fontId="28" fillId="11" borderId="8" xfId="0" applyNumberFormat="1" applyFont="1" applyFill="1" applyBorder="1" applyAlignment="1">
      <alignment horizontal="center"/>
    </xf>
    <xf numFmtId="9" fontId="27" fillId="11" borderId="8" xfId="0" applyNumberFormat="1" applyFont="1" applyFill="1" applyBorder="1" applyProtection="1">
      <protection locked="0"/>
    </xf>
    <xf numFmtId="9" fontId="27" fillId="11" borderId="8" xfId="0" applyNumberFormat="1" applyFont="1" applyFill="1" applyBorder="1"/>
    <xf numFmtId="0" fontId="14" fillId="0" borderId="99" xfId="0" applyFont="1" applyFill="1" applyBorder="1" applyAlignment="1">
      <alignment horizontal="center"/>
    </xf>
    <xf numFmtId="0" fontId="14" fillId="0" borderId="91" xfId="0" applyFont="1" applyFill="1" applyBorder="1" applyAlignment="1">
      <alignment horizontal="center"/>
    </xf>
    <xf numFmtId="0" fontId="14" fillId="0" borderId="92" xfId="0" applyFont="1" applyFill="1" applyBorder="1" applyAlignment="1">
      <alignment horizontal="center"/>
    </xf>
    <xf numFmtId="178" fontId="27" fillId="11" borderId="72" xfId="0" applyNumberFormat="1" applyFont="1" applyFill="1" applyBorder="1" applyAlignment="1" applyProtection="1">
      <alignment horizontal="center"/>
      <protection locked="0"/>
    </xf>
    <xf numFmtId="171" fontId="28" fillId="11" borderId="72" xfId="0" applyNumberFormat="1" applyFont="1" applyFill="1" applyBorder="1" applyAlignment="1">
      <alignment horizontal="center"/>
    </xf>
    <xf numFmtId="9" fontId="27" fillId="11" borderId="72" xfId="0" applyNumberFormat="1" applyFont="1" applyFill="1" applyBorder="1" applyProtection="1">
      <protection locked="0"/>
    </xf>
    <xf numFmtId="9" fontId="27" fillId="11" borderId="72" xfId="0" applyNumberFormat="1" applyFont="1" applyFill="1" applyBorder="1"/>
    <xf numFmtId="0" fontId="13" fillId="15" borderId="93" xfId="0" applyFont="1" applyFill="1" applyBorder="1" applyAlignment="1">
      <alignment horizontal="left"/>
    </xf>
    <xf numFmtId="0" fontId="0" fillId="15" borderId="93" xfId="0" applyFont="1" applyFill="1" applyBorder="1" applyAlignment="1">
      <alignment horizontal="left"/>
    </xf>
    <xf numFmtId="183" fontId="27" fillId="11" borderId="8" xfId="0" applyNumberFormat="1" applyFont="1" applyFill="1" applyBorder="1" applyProtection="1">
      <protection locked="0"/>
    </xf>
    <xf numFmtId="183" fontId="27" fillId="11" borderId="72" xfId="0" applyNumberFormat="1" applyFont="1" applyFill="1" applyBorder="1" applyProtection="1">
      <protection locked="0"/>
    </xf>
    <xf numFmtId="183" fontId="28" fillId="11" borderId="8" xfId="0" applyNumberFormat="1" applyFont="1" applyFill="1" applyBorder="1" applyProtection="1">
      <protection locked="0"/>
    </xf>
    <xf numFmtId="183" fontId="28" fillId="11" borderId="72" xfId="0" applyNumberFormat="1" applyFont="1" applyFill="1" applyBorder="1" applyProtection="1">
      <protection locked="0"/>
    </xf>
    <xf numFmtId="183" fontId="27" fillId="11" borderId="8" xfId="0" applyNumberFormat="1" applyFont="1" applyFill="1" applyBorder="1"/>
    <xf numFmtId="180" fontId="27" fillId="11" borderId="73" xfId="0" applyNumberFormat="1" applyFont="1" applyFill="1" applyBorder="1" applyProtection="1">
      <protection locked="0"/>
    </xf>
    <xf numFmtId="180" fontId="27" fillId="11" borderId="74" xfId="0" applyNumberFormat="1" applyFont="1" applyFill="1" applyBorder="1" applyProtection="1">
      <protection locked="0"/>
    </xf>
    <xf numFmtId="183" fontId="27" fillId="11" borderId="8" xfId="13" applyNumberFormat="1" applyFont="1" applyFill="1" applyBorder="1"/>
    <xf numFmtId="183" fontId="27" fillId="11" borderId="0" xfId="13" applyNumberFormat="1" applyFont="1" applyFill="1"/>
    <xf numFmtId="0" fontId="28" fillId="11" borderId="8" xfId="0" applyFont="1" applyFill="1" applyBorder="1" applyAlignment="1">
      <alignment horizontal="center" vertical="center"/>
    </xf>
    <xf numFmtId="0" fontId="28" fillId="15" borderId="8" xfId="0" applyFont="1" applyFill="1" applyBorder="1" applyAlignment="1">
      <alignment horizontal="center" vertical="center"/>
    </xf>
    <xf numFmtId="169" fontId="27" fillId="15" borderId="132" xfId="0" applyNumberFormat="1" applyFont="1" applyFill="1" applyBorder="1" applyAlignment="1">
      <alignment horizontal="center" vertical="center"/>
    </xf>
    <xf numFmtId="169" fontId="27" fillId="15" borderId="133" xfId="0" applyNumberFormat="1" applyFont="1" applyFill="1" applyBorder="1" applyAlignment="1">
      <alignment horizontal="center" vertical="center"/>
    </xf>
    <xf numFmtId="0" fontId="27" fillId="15" borderId="133" xfId="0" applyFont="1" applyFill="1" applyBorder="1" applyAlignment="1">
      <alignment horizontal="center" vertical="center"/>
    </xf>
    <xf numFmtId="0" fontId="27" fillId="15" borderId="89" xfId="0" applyFont="1" applyFill="1" applyBorder="1" applyAlignment="1">
      <alignment horizontal="center" vertical="center"/>
    </xf>
    <xf numFmtId="0" fontId="35" fillId="15" borderId="8" xfId="0" applyFont="1" applyFill="1" applyBorder="1"/>
    <xf numFmtId="0" fontId="13" fillId="15" borderId="8" xfId="0" applyFont="1" applyFill="1" applyBorder="1" applyAlignment="1">
      <alignment horizontal="center" wrapText="1"/>
    </xf>
    <xf numFmtId="183" fontId="31" fillId="0" borderId="8" xfId="13" applyNumberFormat="1" applyFont="1" applyFill="1" applyBorder="1" applyAlignment="1" applyProtection="1">
      <alignment horizontal="center"/>
    </xf>
    <xf numFmtId="183" fontId="31" fillId="0" borderId="8" xfId="13" applyNumberFormat="1" applyFont="1" applyFill="1" applyBorder="1" applyAlignment="1" applyProtection="1">
      <alignment horizontal="center"/>
      <protection locked="0"/>
    </xf>
    <xf numFmtId="183" fontId="14" fillId="0" borderId="8" xfId="13" applyNumberFormat="1" applyFont="1" applyFill="1" applyBorder="1" applyAlignment="1" applyProtection="1">
      <alignment horizontal="center"/>
      <protection locked="0"/>
    </xf>
    <xf numFmtId="171" fontId="27" fillId="0" borderId="8" xfId="0" applyNumberFormat="1" applyFont="1" applyBorder="1" applyAlignment="1">
      <alignment horizontal="center"/>
    </xf>
    <xf numFmtId="183" fontId="28" fillId="0" borderId="8" xfId="0" applyNumberFormat="1" applyFont="1" applyBorder="1" applyAlignment="1" applyProtection="1">
      <alignment horizontal="center"/>
      <protection locked="0"/>
    </xf>
    <xf numFmtId="183" fontId="27" fillId="0" borderId="8" xfId="0" applyNumberFormat="1" applyFont="1" applyBorder="1" applyAlignment="1">
      <alignment horizontal="center"/>
    </xf>
    <xf numFmtId="183" fontId="28" fillId="12" borderId="8" xfId="0" applyNumberFormat="1" applyFont="1" applyFill="1" applyBorder="1" applyAlignment="1">
      <alignment horizontal="center"/>
    </xf>
    <xf numFmtId="183" fontId="27" fillId="0" borderId="8" xfId="0" applyNumberFormat="1" applyFont="1" applyBorder="1" applyAlignment="1" applyProtection="1">
      <alignment horizontal="center"/>
      <protection locked="0"/>
    </xf>
    <xf numFmtId="183" fontId="28" fillId="0" borderId="8" xfId="0" applyNumberFormat="1" applyFont="1" applyBorder="1" applyAlignment="1">
      <alignment horizontal="center"/>
    </xf>
    <xf numFmtId="183" fontId="27" fillId="0" borderId="8" xfId="0" applyNumberFormat="1" applyFont="1" applyBorder="1"/>
    <xf numFmtId="0" fontId="14" fillId="0" borderId="8" xfId="0" applyFont="1" applyFill="1" applyBorder="1" applyAlignment="1">
      <alignment horizontal="left"/>
    </xf>
    <xf numFmtId="0" fontId="13" fillId="15" borderId="8" xfId="0" applyFont="1" applyFill="1" applyBorder="1" applyAlignment="1">
      <alignment horizontal="left"/>
    </xf>
    <xf numFmtId="0" fontId="14" fillId="15" borderId="138" xfId="0" applyFont="1" applyFill="1" applyBorder="1" applyAlignment="1">
      <alignment horizontal="center"/>
    </xf>
    <xf numFmtId="0" fontId="14" fillId="15" borderId="143" xfId="0" applyFont="1" applyFill="1" applyBorder="1" applyAlignment="1">
      <alignment horizontal="center"/>
    </xf>
    <xf numFmtId="0" fontId="14" fillId="15" borderId="148" xfId="0" applyFont="1" applyFill="1" applyBorder="1" applyAlignment="1">
      <alignment horizontal="center"/>
    </xf>
    <xf numFmtId="0" fontId="14" fillId="15" borderId="150" xfId="0" applyFont="1" applyFill="1" applyBorder="1" applyAlignment="1">
      <alignment horizontal="center"/>
    </xf>
    <xf numFmtId="0" fontId="14" fillId="15" borderId="139" xfId="0" applyFont="1" applyFill="1" applyBorder="1" applyAlignment="1">
      <alignment horizontal="center" wrapText="1"/>
    </xf>
    <xf numFmtId="0" fontId="14" fillId="15" borderId="140" xfId="0" applyFont="1" applyFill="1" applyBorder="1" applyAlignment="1">
      <alignment horizontal="center" wrapText="1"/>
    </xf>
    <xf numFmtId="0" fontId="14" fillId="15" borderId="67" xfId="0" applyFont="1" applyFill="1" applyBorder="1" applyAlignment="1">
      <alignment horizontal="center" wrapText="1"/>
    </xf>
    <xf numFmtId="0" fontId="14" fillId="15" borderId="141" xfId="0" applyFont="1" applyFill="1" applyBorder="1" applyAlignment="1">
      <alignment horizontal="center" wrapText="1"/>
    </xf>
    <xf numFmtId="0" fontId="14" fillId="15" borderId="119" xfId="0" applyFont="1" applyFill="1" applyBorder="1" applyAlignment="1">
      <alignment horizontal="center" wrapText="1"/>
    </xf>
    <xf numFmtId="0" fontId="14" fillId="15" borderId="142" xfId="0" applyFont="1" applyFill="1" applyBorder="1" applyAlignment="1">
      <alignment horizontal="center" wrapText="1"/>
    </xf>
    <xf numFmtId="0" fontId="14" fillId="13" borderId="12" xfId="0" applyFont="1" applyFill="1" applyBorder="1" applyAlignment="1">
      <alignment horizontal="center"/>
    </xf>
    <xf numFmtId="183" fontId="31" fillId="11" borderId="128" xfId="0" applyNumberFormat="1" applyFont="1" applyFill="1" applyBorder="1" applyAlignment="1" applyProtection="1">
      <alignment horizontal="center"/>
      <protection locked="0"/>
    </xf>
    <xf numFmtId="183" fontId="31" fillId="11" borderId="17" xfId="0" applyNumberFormat="1" applyFont="1" applyFill="1" applyBorder="1" applyAlignment="1" applyProtection="1">
      <alignment horizontal="center"/>
      <protection locked="0"/>
    </xf>
    <xf numFmtId="183" fontId="31" fillId="11" borderId="144" xfId="0" applyNumberFormat="1" applyFont="1" applyFill="1" applyBorder="1" applyAlignment="1" applyProtection="1">
      <alignment horizontal="center"/>
      <protection locked="0"/>
    </xf>
    <xf numFmtId="183" fontId="14" fillId="11" borderId="145" xfId="0" applyNumberFormat="1" applyFont="1" applyFill="1" applyBorder="1" applyAlignment="1" applyProtection="1">
      <alignment horizontal="center"/>
      <protection locked="0"/>
    </xf>
    <xf numFmtId="183" fontId="31" fillId="11" borderId="146" xfId="0" applyNumberFormat="1" applyFont="1" applyFill="1" applyBorder="1" applyAlignment="1" applyProtection="1">
      <alignment horizontal="center"/>
      <protection locked="0"/>
    </xf>
    <xf numFmtId="183" fontId="31" fillId="11" borderId="147" xfId="0" applyNumberFormat="1" applyFont="1" applyFill="1" applyBorder="1" applyAlignment="1" applyProtection="1">
      <alignment horizontal="center"/>
      <protection locked="0"/>
    </xf>
    <xf numFmtId="183" fontId="31" fillId="11" borderId="129" xfId="0" applyNumberFormat="1" applyFont="1" applyFill="1" applyBorder="1" applyAlignment="1" applyProtection="1">
      <alignment horizontal="center"/>
      <protection locked="0"/>
    </xf>
    <xf numFmtId="183" fontId="31" fillId="11" borderId="14" xfId="0" applyNumberFormat="1" applyFont="1" applyFill="1" applyBorder="1" applyAlignment="1" applyProtection="1">
      <alignment horizontal="center"/>
      <protection locked="0"/>
    </xf>
    <xf numFmtId="183" fontId="31" fillId="11" borderId="149" xfId="0" applyNumberFormat="1" applyFont="1" applyFill="1" applyBorder="1" applyAlignment="1" applyProtection="1">
      <alignment horizontal="center"/>
      <protection locked="0"/>
    </xf>
    <xf numFmtId="183" fontId="31" fillId="11" borderId="106" xfId="0" applyNumberFormat="1" applyFont="1" applyFill="1" applyBorder="1" applyAlignment="1" applyProtection="1">
      <alignment horizontal="center"/>
      <protection locked="0"/>
    </xf>
    <xf numFmtId="183" fontId="31" fillId="11" borderId="130" xfId="0" applyNumberFormat="1" applyFont="1" applyFill="1" applyBorder="1" applyAlignment="1" applyProtection="1">
      <alignment horizontal="center"/>
      <protection locked="0"/>
    </xf>
    <xf numFmtId="183" fontId="31" fillId="11" borderId="131" xfId="0" applyNumberFormat="1" applyFont="1" applyFill="1" applyBorder="1" applyAlignment="1" applyProtection="1">
      <alignment horizontal="center"/>
      <protection locked="0"/>
    </xf>
    <xf numFmtId="183" fontId="31" fillId="11" borderId="151" xfId="0" applyNumberFormat="1" applyFont="1" applyFill="1" applyBorder="1" applyAlignment="1" applyProtection="1">
      <alignment horizontal="center"/>
      <protection locked="0"/>
    </xf>
    <xf numFmtId="183" fontId="14" fillId="11" borderId="152" xfId="0" applyNumberFormat="1" applyFont="1" applyFill="1" applyBorder="1" applyAlignment="1" applyProtection="1">
      <alignment horizontal="center"/>
      <protection locked="0"/>
    </xf>
    <xf numFmtId="183" fontId="31" fillId="11" borderId="11" xfId="0" applyNumberFormat="1" applyFont="1" applyFill="1" applyBorder="1" applyAlignment="1" applyProtection="1">
      <alignment horizontal="center"/>
      <protection locked="0"/>
    </xf>
    <xf numFmtId="183" fontId="14" fillId="11" borderId="112" xfId="0" applyNumberFormat="1" applyFont="1" applyFill="1" applyBorder="1" applyAlignment="1" applyProtection="1">
      <alignment horizontal="center"/>
      <protection locked="0"/>
    </xf>
    <xf numFmtId="183" fontId="31" fillId="11" borderId="127" xfId="0" applyNumberFormat="1" applyFont="1" applyFill="1" applyBorder="1" applyAlignment="1" applyProtection="1">
      <alignment horizontal="center"/>
      <protection locked="0"/>
    </xf>
    <xf numFmtId="183" fontId="31" fillId="21" borderId="127" xfId="0" applyNumberFormat="1" applyFont="1" applyFill="1" applyBorder="1" applyAlignment="1" applyProtection="1">
      <alignment horizontal="center"/>
      <protection locked="0"/>
    </xf>
    <xf numFmtId="183" fontId="31" fillId="11" borderId="153" xfId="0" applyNumberFormat="1" applyFont="1" applyFill="1" applyBorder="1" applyAlignment="1" applyProtection="1">
      <alignment horizontal="center"/>
      <protection locked="0"/>
    </xf>
    <xf numFmtId="183" fontId="14" fillId="11" borderId="154" xfId="0" applyNumberFormat="1" applyFont="1" applyFill="1" applyBorder="1" applyAlignment="1" applyProtection="1">
      <alignment horizontal="center"/>
      <protection locked="0"/>
    </xf>
    <xf numFmtId="183" fontId="31" fillId="11" borderId="126" xfId="0" applyNumberFormat="1" applyFont="1" applyFill="1" applyBorder="1" applyAlignment="1" applyProtection="1">
      <alignment horizontal="center"/>
      <protection locked="0"/>
    </xf>
    <xf numFmtId="183" fontId="31" fillId="21" borderId="153" xfId="0" applyNumberFormat="1" applyFont="1" applyFill="1" applyBorder="1" applyAlignment="1" applyProtection="1">
      <alignment horizontal="center"/>
      <protection locked="0"/>
    </xf>
    <xf numFmtId="183" fontId="31" fillId="11" borderId="124" xfId="0" applyNumberFormat="1" applyFont="1" applyFill="1" applyBorder="1" applyAlignment="1" applyProtection="1">
      <alignment horizontal="center"/>
      <protection locked="0"/>
    </xf>
    <xf numFmtId="183" fontId="31" fillId="11" borderId="0" xfId="0" applyNumberFormat="1" applyFont="1" applyFill="1" applyBorder="1" applyAlignment="1" applyProtection="1">
      <alignment horizontal="center"/>
      <protection locked="0"/>
    </xf>
    <xf numFmtId="183" fontId="14" fillId="11" borderId="156" xfId="0" applyNumberFormat="1" applyFont="1" applyFill="1" applyBorder="1" applyProtection="1">
      <protection locked="0"/>
    </xf>
    <xf numFmtId="0" fontId="31" fillId="16" borderId="119" xfId="0" applyFont="1" applyFill="1" applyBorder="1" applyAlignment="1">
      <alignment horizontal="center"/>
    </xf>
    <xf numFmtId="1" fontId="31" fillId="16" borderId="119" xfId="0" applyNumberFormat="1" applyFont="1" applyFill="1" applyBorder="1" applyAlignment="1">
      <alignment horizontal="center" vertical="center"/>
    </xf>
    <xf numFmtId="0" fontId="18" fillId="0" borderId="155" xfId="0" applyFont="1" applyBorder="1" applyAlignment="1">
      <alignment horizontal="center"/>
    </xf>
    <xf numFmtId="0" fontId="18" fillId="0" borderId="123" xfId="0" applyFont="1" applyBorder="1" applyAlignment="1">
      <alignment horizontal="center"/>
    </xf>
    <xf numFmtId="0" fontId="37" fillId="0" borderId="0" xfId="20"/>
    <xf numFmtId="171" fontId="0" fillId="0" borderId="14" xfId="0" applyNumberFormat="1" applyBorder="1" applyAlignment="1" applyProtection="1">
      <alignment horizontal="center"/>
      <protection locked="0"/>
    </xf>
    <xf numFmtId="0" fontId="18" fillId="0" borderId="0" xfId="0" applyFont="1"/>
    <xf numFmtId="172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0" fontId="18" fillId="0" borderId="223" xfId="0" applyFont="1" applyBorder="1" applyAlignment="1">
      <alignment horizontal="center"/>
    </xf>
    <xf numFmtId="0" fontId="18" fillId="0" borderId="224" xfId="0" applyFont="1" applyBorder="1" applyAlignment="1">
      <alignment horizontal="center"/>
    </xf>
    <xf numFmtId="0" fontId="18" fillId="0" borderId="225" xfId="0" applyFont="1" applyBorder="1" applyAlignment="1">
      <alignment horizontal="center"/>
    </xf>
    <xf numFmtId="175" fontId="0" fillId="0" borderId="215" xfId="0" applyNumberFormat="1" applyBorder="1" applyProtection="1">
      <protection locked="0"/>
    </xf>
    <xf numFmtId="171" fontId="0" fillId="0" borderId="216" xfId="0" applyNumberFormat="1" applyBorder="1" applyAlignment="1" applyProtection="1">
      <alignment horizontal="center"/>
      <protection locked="0"/>
    </xf>
    <xf numFmtId="171" fontId="0" fillId="0" borderId="216" xfId="0" applyNumberFormat="1" applyBorder="1" applyProtection="1">
      <protection locked="0"/>
    </xf>
    <xf numFmtId="171" fontId="0" fillId="0" borderId="14" xfId="0" applyNumberFormat="1" applyBorder="1" applyProtection="1">
      <protection locked="0"/>
    </xf>
    <xf numFmtId="175" fontId="0" fillId="0" borderId="217" xfId="0" applyNumberFormat="1" applyBorder="1" applyProtection="1">
      <protection locked="0"/>
    </xf>
    <xf numFmtId="175" fontId="0" fillId="0" borderId="219" xfId="0" applyNumberFormat="1" applyBorder="1" applyProtection="1">
      <protection locked="0"/>
    </xf>
    <xf numFmtId="171" fontId="0" fillId="0" borderId="220" xfId="0" applyNumberFormat="1" applyBorder="1" applyAlignment="1" applyProtection="1">
      <alignment horizontal="center"/>
      <protection locked="0"/>
    </xf>
    <xf numFmtId="171" fontId="0" fillId="0" borderId="226" xfId="0" applyNumberFormat="1" applyBorder="1" applyAlignment="1" applyProtection="1">
      <alignment horizontal="center"/>
      <protection locked="0"/>
    </xf>
    <xf numFmtId="171" fontId="0" fillId="0" borderId="220" xfId="0" applyNumberFormat="1" applyBorder="1" applyProtection="1">
      <protection locked="0"/>
    </xf>
    <xf numFmtId="171" fontId="18" fillId="0" borderId="0" xfId="0" applyNumberFormat="1" applyFont="1" applyAlignment="1">
      <alignment horizontal="center"/>
    </xf>
    <xf numFmtId="171" fontId="0" fillId="0" borderId="17" xfId="0" applyNumberFormat="1" applyBorder="1" applyAlignment="1" applyProtection="1">
      <alignment horizontal="center"/>
      <protection locked="0"/>
    </xf>
    <xf numFmtId="171" fontId="18" fillId="0" borderId="229" xfId="0" applyNumberFormat="1" applyFont="1" applyBorder="1" applyAlignment="1" applyProtection="1">
      <alignment horizontal="center"/>
      <protection locked="0"/>
    </xf>
    <xf numFmtId="171" fontId="18" fillId="0" borderId="229" xfId="0" applyNumberFormat="1" applyFont="1" applyBorder="1"/>
    <xf numFmtId="171" fontId="28" fillId="0" borderId="39" xfId="0" applyNumberFormat="1" applyFont="1" applyBorder="1"/>
    <xf numFmtId="175" fontId="0" fillId="0" borderId="0" xfId="0" applyNumberFormat="1" applyFont="1" applyFill="1" applyBorder="1" applyAlignment="1" applyProtection="1">
      <alignment horizontal="left"/>
      <protection locked="0"/>
    </xf>
    <xf numFmtId="171" fontId="0" fillId="0" borderId="0" xfId="13" applyFont="1" applyFill="1" applyBorder="1" applyAlignment="1" applyProtection="1">
      <alignment horizontal="center"/>
      <protection locked="0"/>
    </xf>
    <xf numFmtId="9" fontId="0" fillId="0" borderId="0" xfId="16" applyFont="1" applyFill="1" applyBorder="1" applyAlignment="1" applyProtection="1">
      <alignment horizontal="center"/>
      <protection locked="0"/>
    </xf>
    <xf numFmtId="171" fontId="0" fillId="0" borderId="0" xfId="13" applyFont="1" applyFill="1" applyBorder="1" applyAlignment="1" applyProtection="1">
      <protection locked="0"/>
    </xf>
    <xf numFmtId="9" fontId="0" fillId="0" borderId="0" xfId="16" applyFont="1" applyFill="1" applyBorder="1" applyAlignment="1" applyProtection="1">
      <protection locked="0"/>
    </xf>
    <xf numFmtId="175" fontId="0" fillId="0" borderId="0" xfId="0" applyNumberFormat="1" applyFont="1" applyFill="1" applyBorder="1" applyProtection="1">
      <protection locked="0"/>
    </xf>
    <xf numFmtId="0" fontId="13" fillId="0" borderId="0" xfId="0" applyFont="1" applyFill="1" applyBorder="1" applyAlignment="1">
      <alignment horizontal="center"/>
    </xf>
    <xf numFmtId="171" fontId="13" fillId="0" borderId="0" xfId="13" applyFont="1" applyFill="1" applyBorder="1" applyAlignment="1" applyProtection="1">
      <alignment horizontal="center"/>
      <protection locked="0"/>
    </xf>
    <xf numFmtId="9" fontId="13" fillId="0" borderId="0" xfId="16" applyFont="1" applyFill="1" applyBorder="1" applyAlignment="1" applyProtection="1"/>
    <xf numFmtId="187" fontId="0" fillId="0" borderId="0" xfId="0" applyNumberFormat="1"/>
    <xf numFmtId="0" fontId="18" fillId="0" borderId="230" xfId="0" applyFont="1" applyBorder="1" applyAlignment="1">
      <alignment horizontal="center"/>
    </xf>
    <xf numFmtId="0" fontId="18" fillId="0" borderId="231" xfId="0" applyFont="1" applyBorder="1" applyAlignment="1">
      <alignment horizontal="center"/>
    </xf>
    <xf numFmtId="0" fontId="18" fillId="0" borderId="232" xfId="0" applyFont="1" applyBorder="1" applyAlignment="1">
      <alignment horizontal="center"/>
    </xf>
    <xf numFmtId="0" fontId="18" fillId="0" borderId="23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34" xfId="0" applyFont="1" applyBorder="1" applyAlignment="1">
      <alignment horizontal="center"/>
    </xf>
    <xf numFmtId="9" fontId="0" fillId="0" borderId="235" xfId="0" applyNumberFormat="1" applyBorder="1" applyProtection="1">
      <protection locked="0"/>
    </xf>
    <xf numFmtId="171" fontId="0" fillId="0" borderId="0" xfId="0" applyNumberFormat="1" applyAlignment="1" applyProtection="1">
      <alignment horizontal="center"/>
      <protection locked="0"/>
    </xf>
    <xf numFmtId="9" fontId="0" fillId="0" borderId="236" xfId="0" applyNumberFormat="1" applyBorder="1" applyProtection="1">
      <protection locked="0"/>
    </xf>
    <xf numFmtId="9" fontId="0" fillId="0" borderId="237" xfId="0" applyNumberFormat="1" applyBorder="1" applyProtection="1">
      <protection locked="0"/>
    </xf>
    <xf numFmtId="171" fontId="18" fillId="0" borderId="12" xfId="0" applyNumberFormat="1" applyFont="1" applyBorder="1" applyAlignment="1" applyProtection="1">
      <alignment horizontal="center"/>
      <protection locked="0"/>
    </xf>
    <xf numFmtId="171" fontId="18" fillId="0" borderId="0" xfId="0" applyNumberFormat="1" applyFont="1"/>
    <xf numFmtId="171" fontId="0" fillId="0" borderId="239" xfId="0" applyNumberFormat="1" applyBorder="1"/>
    <xf numFmtId="171" fontId="18" fillId="0" borderId="0" xfId="0" applyNumberFormat="1" applyFont="1" applyAlignment="1" applyProtection="1">
      <alignment horizontal="center"/>
      <protection locked="0"/>
    </xf>
    <xf numFmtId="49" fontId="0" fillId="0" borderId="215" xfId="0" applyNumberFormat="1" applyBorder="1" applyProtection="1">
      <protection locked="0"/>
    </xf>
    <xf numFmtId="49" fontId="0" fillId="0" borderId="217" xfId="0" applyNumberFormat="1" applyBorder="1" applyProtection="1">
      <protection locked="0"/>
    </xf>
    <xf numFmtId="171" fontId="0" fillId="0" borderId="236" xfId="0" applyNumberFormat="1" applyBorder="1" applyProtection="1">
      <protection locked="0"/>
    </xf>
    <xf numFmtId="49" fontId="0" fillId="0" borderId="217" xfId="0" applyNumberFormat="1" applyBorder="1" applyAlignment="1" applyProtection="1">
      <alignment horizontal="left"/>
      <protection locked="0"/>
    </xf>
    <xf numFmtId="49" fontId="0" fillId="0" borderId="240" xfId="0" applyNumberFormat="1" applyBorder="1" applyAlignment="1" applyProtection="1">
      <alignment horizontal="left"/>
      <protection locked="0"/>
    </xf>
    <xf numFmtId="171" fontId="0" fillId="0" borderId="241" xfId="0" applyNumberFormat="1" applyBorder="1" applyProtection="1">
      <protection locked="0"/>
    </xf>
    <xf numFmtId="171" fontId="18" fillId="0" borderId="244" xfId="0" applyNumberFormat="1" applyFont="1" applyBorder="1"/>
    <xf numFmtId="169" fontId="0" fillId="0" borderId="0" xfId="0" applyNumberFormat="1"/>
    <xf numFmtId="0" fontId="18" fillId="0" borderId="0" xfId="0" applyFont="1" applyAlignment="1">
      <alignment vertical="top"/>
    </xf>
    <xf numFmtId="185" fontId="18" fillId="0" borderId="0" xfId="0" applyNumberFormat="1" applyFont="1" applyAlignment="1">
      <alignment vertical="top"/>
    </xf>
    <xf numFmtId="9" fontId="18" fillId="0" borderId="0" xfId="0" applyNumberFormat="1" applyFont="1" applyAlignment="1">
      <alignment vertical="top"/>
    </xf>
    <xf numFmtId="9" fontId="19" fillId="0" borderId="0" xfId="0" applyNumberFormat="1" applyFont="1" applyAlignment="1">
      <alignment vertical="top"/>
    </xf>
    <xf numFmtId="0" fontId="18" fillId="0" borderId="246" xfId="0" applyFont="1" applyBorder="1" applyAlignment="1">
      <alignment horizontal="center"/>
    </xf>
    <xf numFmtId="0" fontId="18" fillId="0" borderId="247" xfId="0" applyFont="1" applyBorder="1" applyAlignment="1">
      <alignment horizontal="center"/>
    </xf>
    <xf numFmtId="0" fontId="18" fillId="0" borderId="249" xfId="0" applyFont="1" applyBorder="1" applyAlignment="1">
      <alignment horizontal="center"/>
    </xf>
    <xf numFmtId="0" fontId="18" fillId="0" borderId="250" xfId="0" applyFont="1" applyBorder="1" applyAlignment="1">
      <alignment horizontal="center"/>
    </xf>
    <xf numFmtId="49" fontId="0" fillId="0" borderId="251" xfId="0" applyNumberFormat="1" applyBorder="1" applyProtection="1">
      <protection locked="0"/>
    </xf>
    <xf numFmtId="171" fontId="0" fillId="0" borderId="252" xfId="0" applyNumberFormat="1" applyBorder="1" applyAlignment="1" applyProtection="1">
      <alignment horizontal="center"/>
      <protection locked="0"/>
    </xf>
    <xf numFmtId="171" fontId="0" fillId="0" borderId="253" xfId="0" applyNumberFormat="1" applyBorder="1" applyProtection="1">
      <protection locked="0"/>
    </xf>
    <xf numFmtId="49" fontId="0" fillId="0" borderId="254" xfId="0" applyNumberFormat="1" applyBorder="1" applyProtection="1">
      <protection locked="0"/>
    </xf>
    <xf numFmtId="171" fontId="0" fillId="0" borderId="255" xfId="0" applyNumberFormat="1" applyBorder="1" applyProtection="1">
      <protection locked="0"/>
    </xf>
    <xf numFmtId="49" fontId="0" fillId="0" borderId="254" xfId="0" applyNumberFormat="1" applyBorder="1" applyAlignment="1" applyProtection="1">
      <alignment horizontal="left"/>
      <protection locked="0"/>
    </xf>
    <xf numFmtId="171" fontId="0" fillId="0" borderId="255" xfId="0" applyNumberFormat="1" applyBorder="1" applyAlignment="1" applyProtection="1">
      <alignment horizontal="center"/>
      <protection locked="0"/>
    </xf>
    <xf numFmtId="49" fontId="0" fillId="0" borderId="256" xfId="0" applyNumberFormat="1" applyBorder="1" applyAlignment="1" applyProtection="1">
      <alignment horizontal="left"/>
      <protection locked="0"/>
    </xf>
    <xf numFmtId="171" fontId="0" fillId="0" borderId="257" xfId="0" applyNumberFormat="1" applyBorder="1" applyAlignment="1" applyProtection="1">
      <alignment horizontal="center"/>
      <protection locked="0"/>
    </xf>
    <xf numFmtId="171" fontId="0" fillId="0" borderId="258" xfId="0" applyNumberFormat="1" applyBorder="1" applyAlignment="1" applyProtection="1">
      <alignment horizontal="center"/>
      <protection locked="0"/>
    </xf>
    <xf numFmtId="0" fontId="27" fillId="12" borderId="259" xfId="0" applyFont="1" applyFill="1" applyBorder="1" applyAlignment="1">
      <alignment horizontal="center" vertical="center"/>
    </xf>
    <xf numFmtId="0" fontId="27" fillId="12" borderId="260" xfId="0" applyFont="1" applyFill="1" applyBorder="1" applyAlignment="1">
      <alignment horizontal="center" vertical="center" wrapText="1"/>
    </xf>
    <xf numFmtId="0" fontId="27" fillId="12" borderId="33" xfId="0" applyFont="1" applyFill="1" applyBorder="1" applyAlignment="1">
      <alignment horizontal="center" vertical="center" wrapText="1"/>
    </xf>
    <xf numFmtId="0" fontId="27" fillId="12" borderId="261" xfId="0" applyFont="1" applyFill="1" applyBorder="1" applyAlignment="1">
      <alignment horizontal="center"/>
    </xf>
    <xf numFmtId="171" fontId="27" fillId="12" borderId="262" xfId="0" applyNumberFormat="1" applyFont="1" applyFill="1" applyBorder="1" applyAlignment="1">
      <alignment vertical="center"/>
    </xf>
    <xf numFmtId="171" fontId="27" fillId="12" borderId="262" xfId="0" applyNumberFormat="1" applyFont="1" applyFill="1" applyBorder="1"/>
    <xf numFmtId="0" fontId="27" fillId="12" borderId="263" xfId="0" applyFont="1" applyFill="1" applyBorder="1" applyAlignment="1">
      <alignment horizontal="center"/>
    </xf>
    <xf numFmtId="171" fontId="27" fillId="12" borderId="264" xfId="0" applyNumberFormat="1" applyFont="1" applyFill="1" applyBorder="1" applyAlignment="1">
      <alignment vertical="center"/>
    </xf>
    <xf numFmtId="171" fontId="27" fillId="12" borderId="264" xfId="0" applyNumberFormat="1" applyFont="1" applyFill="1" applyBorder="1"/>
    <xf numFmtId="0" fontId="27" fillId="12" borderId="264" xfId="0" applyFont="1" applyFill="1" applyBorder="1" applyAlignment="1">
      <alignment vertical="center"/>
    </xf>
    <xf numFmtId="0" fontId="27" fillId="12" borderId="265" xfId="0" applyFont="1" applyFill="1" applyBorder="1" applyAlignment="1">
      <alignment horizontal="center"/>
    </xf>
    <xf numFmtId="0" fontId="27" fillId="12" borderId="266" xfId="0" applyFont="1" applyFill="1" applyBorder="1" applyAlignment="1">
      <alignment vertical="center"/>
    </xf>
    <xf numFmtId="171" fontId="27" fillId="12" borderId="266" xfId="0" applyNumberFormat="1" applyFont="1" applyFill="1" applyBorder="1"/>
    <xf numFmtId="0" fontId="27" fillId="12" borderId="267" xfId="0" applyFont="1" applyFill="1" applyBorder="1" applyAlignment="1">
      <alignment horizontal="center"/>
    </xf>
    <xf numFmtId="171" fontId="27" fillId="12" borderId="46" xfId="0" applyNumberFormat="1" applyFont="1" applyFill="1" applyBorder="1" applyAlignment="1">
      <alignment vertical="center"/>
    </xf>
    <xf numFmtId="171" fontId="27" fillId="12" borderId="33" xfId="0" applyNumberFormat="1" applyFont="1" applyFill="1" applyBorder="1"/>
    <xf numFmtId="0" fontId="28" fillId="12" borderId="40" xfId="0" applyFont="1" applyFill="1" applyBorder="1" applyAlignment="1">
      <alignment horizontal="center"/>
    </xf>
    <xf numFmtId="171" fontId="28" fillId="12" borderId="39" xfId="0" applyNumberFormat="1" applyFont="1" applyFill="1" applyBorder="1"/>
    <xf numFmtId="9" fontId="0" fillId="20" borderId="3" xfId="0" applyNumberFormat="1" applyFill="1" applyBorder="1" applyAlignment="1" applyProtection="1">
      <alignment horizontal="center"/>
      <protection locked="0"/>
    </xf>
    <xf numFmtId="0" fontId="28" fillId="12" borderId="0" xfId="0" applyFont="1" applyFill="1" applyAlignment="1">
      <alignment horizontal="center"/>
    </xf>
    <xf numFmtId="0" fontId="28" fillId="12" borderId="33" xfId="0" applyFont="1" applyFill="1" applyBorder="1" applyAlignment="1">
      <alignment horizontal="center"/>
    </xf>
    <xf numFmtId="0" fontId="27" fillId="12" borderId="269" xfId="0" applyFont="1" applyFill="1" applyBorder="1"/>
    <xf numFmtId="171" fontId="27" fillId="12" borderId="0" xfId="0" applyNumberFormat="1" applyFont="1" applyFill="1" applyAlignment="1" applyProtection="1">
      <alignment horizontal="center"/>
      <protection locked="0"/>
    </xf>
    <xf numFmtId="171" fontId="27" fillId="12" borderId="27" xfId="0" applyNumberFormat="1" applyFont="1" applyFill="1" applyBorder="1" applyAlignment="1" applyProtection="1">
      <alignment horizontal="center"/>
      <protection locked="0"/>
    </xf>
    <xf numFmtId="171" fontId="27" fillId="12" borderId="269" xfId="0" applyNumberFormat="1" applyFont="1" applyFill="1" applyBorder="1" applyAlignment="1" applyProtection="1">
      <alignment horizontal="center"/>
      <protection locked="0"/>
    </xf>
    <xf numFmtId="171" fontId="28" fillId="12" borderId="33" xfId="0" applyNumberFormat="1" applyFont="1" applyFill="1" applyBorder="1" applyAlignment="1">
      <alignment horizontal="left"/>
    </xf>
    <xf numFmtId="171" fontId="28" fillId="12" borderId="40" xfId="0" applyNumberFormat="1" applyFont="1" applyFill="1" applyBorder="1" applyAlignment="1" applyProtection="1">
      <alignment horizontal="center"/>
      <protection locked="0"/>
    </xf>
    <xf numFmtId="171" fontId="28" fillId="12" borderId="33" xfId="0" applyNumberFormat="1" applyFont="1" applyFill="1" applyBorder="1" applyAlignment="1" applyProtection="1">
      <alignment horizontal="center"/>
      <protection locked="0"/>
    </xf>
    <xf numFmtId="171" fontId="27" fillId="12" borderId="0" xfId="0" applyNumberFormat="1" applyFont="1" applyFill="1" applyAlignment="1">
      <alignment horizontal="center"/>
    </xf>
    <xf numFmtId="171" fontId="27" fillId="12" borderId="269" xfId="0" applyNumberFormat="1" applyFont="1" applyFill="1" applyBorder="1" applyAlignment="1">
      <alignment horizontal="center"/>
    </xf>
    <xf numFmtId="0" fontId="28" fillId="12" borderId="41" xfId="0" applyFont="1" applyFill="1" applyBorder="1" applyAlignment="1">
      <alignment horizontal="center" vertical="center"/>
    </xf>
    <xf numFmtId="171" fontId="28" fillId="12" borderId="33" xfId="0" applyNumberFormat="1" applyFont="1" applyFill="1" applyBorder="1" applyAlignment="1">
      <alignment horizontal="left" vertical="center"/>
    </xf>
    <xf numFmtId="171" fontId="28" fillId="12" borderId="40" xfId="0" applyNumberFormat="1" applyFont="1" applyFill="1" applyBorder="1" applyAlignment="1" applyProtection="1">
      <alignment horizontal="center" vertical="center"/>
      <protection locked="0"/>
    </xf>
    <xf numFmtId="171" fontId="28" fillId="12" borderId="33" xfId="0" applyNumberFormat="1" applyFont="1" applyFill="1" applyBorder="1" applyAlignment="1" applyProtection="1">
      <alignment horizontal="center" vertical="center"/>
      <protection locked="0"/>
    </xf>
    <xf numFmtId="0" fontId="27" fillId="12" borderId="269" xfId="0" applyFont="1" applyFill="1" applyBorder="1" applyAlignment="1">
      <alignment horizontal="left"/>
    </xf>
    <xf numFmtId="171" fontId="27" fillId="12" borderId="270" xfId="0" applyNumberFormat="1" applyFont="1" applyFill="1" applyBorder="1" applyAlignment="1" applyProtection="1">
      <alignment horizontal="center"/>
      <protection locked="0"/>
    </xf>
    <xf numFmtId="171" fontId="27" fillId="12" borderId="271" xfId="0" applyNumberFormat="1" applyFont="1" applyFill="1" applyBorder="1" applyAlignment="1" applyProtection="1">
      <alignment horizontal="center"/>
      <protection locked="0"/>
    </xf>
    <xf numFmtId="0" fontId="28" fillId="12" borderId="33" xfId="0" applyFont="1" applyFill="1" applyBorder="1" applyAlignment="1">
      <alignment horizontal="left" vertical="center"/>
    </xf>
    <xf numFmtId="171" fontId="28" fillId="12" borderId="39" xfId="0" applyNumberFormat="1" applyFont="1" applyFill="1" applyBorder="1" applyAlignment="1" applyProtection="1">
      <alignment horizontal="center" vertical="center"/>
      <protection locked="0"/>
    </xf>
    <xf numFmtId="0" fontId="28" fillId="12" borderId="272" xfId="0" applyFont="1" applyFill="1" applyBorder="1" applyAlignment="1">
      <alignment horizontal="center" vertical="center"/>
    </xf>
    <xf numFmtId="171" fontId="28" fillId="12" borderId="47" xfId="0" applyNumberFormat="1" applyFont="1" applyFill="1" applyBorder="1"/>
    <xf numFmtId="167" fontId="27" fillId="12" borderId="0" xfId="0" applyNumberFormat="1" applyFont="1" applyFill="1"/>
    <xf numFmtId="0" fontId="28" fillId="12" borderId="273" xfId="0" applyFont="1" applyFill="1" applyBorder="1" applyAlignment="1">
      <alignment horizontal="center" vertical="center"/>
    </xf>
    <xf numFmtId="171" fontId="28" fillId="12" borderId="271" xfId="0" applyNumberFormat="1" applyFont="1" applyFill="1" applyBorder="1"/>
    <xf numFmtId="0" fontId="28" fillId="12" borderId="274" xfId="0" applyFont="1" applyFill="1" applyBorder="1" applyAlignment="1">
      <alignment horizontal="center" vertical="center"/>
    </xf>
    <xf numFmtId="171" fontId="28" fillId="12" borderId="275" xfId="0" applyNumberFormat="1" applyFont="1" applyFill="1" applyBorder="1"/>
    <xf numFmtId="174" fontId="27" fillId="12" borderId="0" xfId="0" applyNumberFormat="1" applyFont="1" applyFill="1"/>
    <xf numFmtId="0" fontId="39" fillId="12" borderId="0" xfId="0" applyFont="1" applyFill="1" applyAlignment="1">
      <alignment vertical="top"/>
    </xf>
    <xf numFmtId="0" fontId="28" fillId="12" borderId="12" xfId="0" applyFont="1" applyFill="1" applyBorder="1"/>
    <xf numFmtId="0" fontId="40" fillId="12" borderId="0" xfId="0" applyFont="1" applyFill="1" applyAlignment="1">
      <alignment horizontal="left"/>
    </xf>
    <xf numFmtId="0" fontId="40" fillId="12" borderId="0" xfId="0" applyFont="1" applyFill="1" applyAlignment="1">
      <alignment horizontal="center"/>
    </xf>
    <xf numFmtId="0" fontId="28" fillId="12" borderId="27" xfId="0" applyFont="1" applyFill="1" applyBorder="1"/>
    <xf numFmtId="171" fontId="27" fillId="12" borderId="276" xfId="0" applyNumberFormat="1" applyFont="1" applyFill="1" applyBorder="1" applyAlignment="1">
      <alignment horizontal="center"/>
    </xf>
    <xf numFmtId="171" fontId="27" fillId="12" borderId="277" xfId="0" applyNumberFormat="1" applyFont="1" applyFill="1" applyBorder="1" applyAlignment="1">
      <alignment horizontal="center"/>
    </xf>
    <xf numFmtId="171" fontId="27" fillId="12" borderId="278" xfId="0" applyNumberFormat="1" applyFont="1" applyFill="1" applyBorder="1" applyAlignment="1">
      <alignment horizontal="center"/>
    </xf>
    <xf numFmtId="171" fontId="27" fillId="12" borderId="129" xfId="0" applyNumberFormat="1" applyFont="1" applyFill="1" applyBorder="1" applyAlignment="1" applyProtection="1">
      <alignment horizontal="center"/>
      <protection locked="0"/>
    </xf>
    <xf numFmtId="171" fontId="27" fillId="12" borderId="149" xfId="0" applyNumberFormat="1" applyFont="1" applyFill="1" applyBorder="1" applyAlignment="1" applyProtection="1">
      <alignment horizontal="center"/>
      <protection locked="0"/>
    </xf>
    <xf numFmtId="171" fontId="27" fillId="12" borderId="148" xfId="0" applyNumberFormat="1" applyFont="1" applyFill="1" applyBorder="1" applyAlignment="1" applyProtection="1">
      <alignment horizontal="center"/>
      <protection locked="0"/>
    </xf>
    <xf numFmtId="0" fontId="28" fillId="12" borderId="269" xfId="0" applyFont="1" applyFill="1" applyBorder="1"/>
    <xf numFmtId="171" fontId="27" fillId="12" borderId="279" xfId="0" applyNumberFormat="1" applyFont="1" applyFill="1" applyBorder="1" applyAlignment="1" applyProtection="1">
      <alignment horizontal="center"/>
      <protection locked="0"/>
    </xf>
    <xf numFmtId="171" fontId="27" fillId="12" borderId="280" xfId="0" applyNumberFormat="1" applyFont="1" applyFill="1" applyBorder="1" applyAlignment="1" applyProtection="1">
      <alignment horizontal="center"/>
      <protection locked="0"/>
    </xf>
    <xf numFmtId="171" fontId="27" fillId="12" borderId="281" xfId="0" applyNumberFormat="1" applyFont="1" applyFill="1" applyBorder="1" applyAlignment="1" applyProtection="1">
      <alignment horizontal="center"/>
      <protection locked="0"/>
    </xf>
    <xf numFmtId="0" fontId="28" fillId="12" borderId="33" xfId="0" applyFont="1" applyFill="1" applyBorder="1"/>
    <xf numFmtId="171" fontId="28" fillId="12" borderId="126" xfId="0" applyNumberFormat="1" applyFont="1" applyFill="1" applyBorder="1" applyAlignment="1" applyProtection="1">
      <alignment horizontal="center"/>
      <protection locked="0"/>
    </xf>
    <xf numFmtId="171" fontId="28" fillId="12" borderId="153" xfId="0" applyNumberFormat="1" applyFont="1" applyFill="1" applyBorder="1" applyAlignment="1" applyProtection="1">
      <alignment horizontal="center"/>
      <protection locked="0"/>
    </xf>
    <xf numFmtId="171" fontId="28" fillId="12" borderId="129" xfId="0" applyNumberFormat="1" applyFont="1" applyFill="1" applyBorder="1" applyAlignment="1" applyProtection="1">
      <alignment horizontal="center"/>
      <protection locked="0"/>
    </xf>
    <xf numFmtId="171" fontId="28" fillId="12" borderId="149" xfId="0" applyNumberFormat="1" applyFont="1" applyFill="1" applyBorder="1" applyAlignment="1" applyProtection="1">
      <alignment horizontal="center"/>
      <protection locked="0"/>
    </xf>
    <xf numFmtId="171" fontId="28" fillId="12" borderId="148" xfId="0" applyNumberFormat="1" applyFont="1" applyFill="1" applyBorder="1" applyAlignment="1" applyProtection="1">
      <alignment horizontal="center"/>
      <protection locked="0"/>
    </xf>
    <xf numFmtId="171" fontId="27" fillId="12" borderId="129" xfId="0" applyNumberFormat="1" applyFont="1" applyFill="1" applyBorder="1" applyAlignment="1">
      <alignment horizontal="center"/>
    </xf>
    <xf numFmtId="171" fontId="27" fillId="12" borderId="149" xfId="0" applyNumberFormat="1" applyFont="1" applyFill="1" applyBorder="1" applyAlignment="1">
      <alignment horizontal="center"/>
    </xf>
    <xf numFmtId="171" fontId="27" fillId="12" borderId="148" xfId="0" applyNumberFormat="1" applyFont="1" applyFill="1" applyBorder="1" applyAlignment="1">
      <alignment horizontal="center"/>
    </xf>
    <xf numFmtId="171" fontId="28" fillId="12" borderId="276" xfId="0" applyNumberFormat="1" applyFont="1" applyFill="1" applyBorder="1" applyAlignment="1" applyProtection="1">
      <alignment horizontal="center"/>
      <protection locked="0"/>
    </xf>
    <xf numFmtId="171" fontId="28" fillId="12" borderId="277" xfId="0" applyNumberFormat="1" applyFont="1" applyFill="1" applyBorder="1" applyAlignment="1" applyProtection="1">
      <alignment horizontal="center"/>
      <protection locked="0"/>
    </xf>
    <xf numFmtId="171" fontId="28" fillId="12" borderId="278" xfId="0" applyNumberFormat="1" applyFont="1" applyFill="1" applyBorder="1" applyAlignment="1" applyProtection="1">
      <alignment horizontal="center"/>
      <protection locked="0"/>
    </xf>
    <xf numFmtId="0" fontId="28" fillId="12" borderId="270" xfId="0" applyFont="1" applyFill="1" applyBorder="1" applyAlignment="1">
      <alignment horizontal="left"/>
    </xf>
    <xf numFmtId="171" fontId="28" fillId="12" borderId="130" xfId="0" applyNumberFormat="1" applyFont="1" applyFill="1" applyBorder="1" applyAlignment="1" applyProtection="1">
      <alignment horizontal="center"/>
      <protection locked="0"/>
    </xf>
    <xf numFmtId="171" fontId="28" fillId="12" borderId="151" xfId="0" applyNumberFormat="1" applyFont="1" applyFill="1" applyBorder="1" applyAlignment="1" applyProtection="1">
      <alignment horizontal="center"/>
      <protection locked="0"/>
    </xf>
    <xf numFmtId="171" fontId="28" fillId="12" borderId="150" xfId="0" applyNumberFormat="1" applyFont="1" applyFill="1" applyBorder="1" applyAlignment="1" applyProtection="1">
      <alignment horizontal="center"/>
      <protection locked="0"/>
    </xf>
    <xf numFmtId="171" fontId="27" fillId="12" borderId="128" xfId="0" applyNumberFormat="1" applyFont="1" applyFill="1" applyBorder="1" applyAlignment="1">
      <alignment horizontal="center"/>
    </xf>
    <xf numFmtId="171" fontId="27" fillId="12" borderId="144" xfId="0" applyNumberFormat="1" applyFont="1" applyFill="1" applyBorder="1" applyAlignment="1">
      <alignment horizontal="center"/>
    </xf>
    <xf numFmtId="171" fontId="27" fillId="12" borderId="143" xfId="0" applyNumberFormat="1" applyFont="1" applyFill="1" applyBorder="1" applyAlignment="1">
      <alignment horizontal="center"/>
    </xf>
    <xf numFmtId="171" fontId="28" fillId="12" borderId="278" xfId="0" applyNumberFormat="1" applyFont="1" applyFill="1" applyBorder="1" applyAlignment="1">
      <alignment horizontal="center"/>
    </xf>
    <xf numFmtId="180" fontId="27" fillId="12" borderId="148" xfId="0" applyNumberFormat="1" applyFont="1" applyFill="1" applyBorder="1" applyAlignment="1" applyProtection="1">
      <alignment horizontal="center"/>
      <protection locked="0"/>
    </xf>
    <xf numFmtId="0" fontId="28" fillId="12" borderId="270" xfId="0" applyFont="1" applyFill="1" applyBorder="1"/>
    <xf numFmtId="171" fontId="27" fillId="12" borderId="130" xfId="0" applyNumberFormat="1" applyFont="1" applyFill="1" applyBorder="1" applyAlignment="1" applyProtection="1">
      <alignment horizontal="center"/>
      <protection locked="0"/>
    </xf>
    <xf numFmtId="171" fontId="27" fillId="11" borderId="151" xfId="0" applyNumberFormat="1" applyFont="1" applyFill="1" applyBorder="1" applyAlignment="1" applyProtection="1">
      <alignment horizontal="center"/>
      <protection locked="0"/>
    </xf>
    <xf numFmtId="171" fontId="27" fillId="12" borderId="150" xfId="0" applyNumberFormat="1" applyFont="1" applyFill="1" applyBorder="1" applyAlignment="1" applyProtection="1">
      <alignment horizontal="center"/>
      <protection locked="0"/>
    </xf>
    <xf numFmtId="180" fontId="27" fillId="12" borderId="281" xfId="0" applyNumberFormat="1" applyFont="1" applyFill="1" applyBorder="1" applyAlignment="1" applyProtection="1">
      <alignment horizontal="center"/>
      <protection locked="0"/>
    </xf>
    <xf numFmtId="180" fontId="28" fillId="12" borderId="33" xfId="0" applyNumberFormat="1" applyFont="1" applyFill="1" applyBorder="1" applyAlignment="1" applyProtection="1">
      <alignment horizontal="center"/>
      <protection locked="0"/>
    </xf>
    <xf numFmtId="0" fontId="28" fillId="12" borderId="0" xfId="0" applyFont="1" applyFill="1"/>
    <xf numFmtId="180" fontId="27" fillId="12" borderId="0" xfId="0" applyNumberFormat="1" applyFont="1" applyFill="1" applyAlignment="1" applyProtection="1">
      <alignment horizontal="center"/>
      <protection locked="0"/>
    </xf>
    <xf numFmtId="0" fontId="28" fillId="12" borderId="282" xfId="0" applyFont="1" applyFill="1" applyBorder="1" applyAlignment="1">
      <alignment horizontal="left"/>
    </xf>
    <xf numFmtId="0" fontId="28" fillId="12" borderId="283" xfId="0" applyFont="1" applyFill="1" applyBorder="1" applyAlignment="1">
      <alignment horizontal="center"/>
    </xf>
    <xf numFmtId="0" fontId="28" fillId="12" borderId="217" xfId="0" applyFont="1" applyFill="1" applyBorder="1" applyAlignment="1">
      <alignment horizontal="center"/>
    </xf>
    <xf numFmtId="0" fontId="28" fillId="12" borderId="220" xfId="0" applyFont="1" applyFill="1" applyBorder="1" applyAlignment="1">
      <alignment horizontal="center"/>
    </xf>
    <xf numFmtId="0" fontId="28" fillId="12" borderId="217" xfId="0" applyFont="1" applyFill="1" applyBorder="1"/>
    <xf numFmtId="171" fontId="27" fillId="0" borderId="14" xfId="0" applyNumberFormat="1" applyFont="1" applyFill="1" applyBorder="1" applyProtection="1">
      <protection locked="0"/>
    </xf>
    <xf numFmtId="0" fontId="28" fillId="12" borderId="217" xfId="0" applyFont="1" applyFill="1" applyBorder="1" applyAlignment="1">
      <alignment horizontal="left"/>
    </xf>
    <xf numFmtId="171" fontId="27" fillId="12" borderId="14" xfId="0" applyNumberFormat="1" applyFont="1" applyFill="1" applyBorder="1" applyProtection="1">
      <protection locked="0"/>
    </xf>
    <xf numFmtId="0" fontId="28" fillId="12" borderId="219" xfId="0" applyFont="1" applyFill="1" applyBorder="1"/>
    <xf numFmtId="9" fontId="27" fillId="12" borderId="220" xfId="16" applyFont="1" applyFill="1" applyBorder="1" applyProtection="1">
      <protection locked="0"/>
    </xf>
    <xf numFmtId="9" fontId="27" fillId="25" borderId="220" xfId="16" applyFont="1" applyFill="1" applyBorder="1" applyProtection="1">
      <protection locked="0"/>
    </xf>
    <xf numFmtId="0" fontId="28" fillId="12" borderId="0" xfId="0" applyFont="1" applyFill="1" applyBorder="1"/>
    <xf numFmtId="9" fontId="27" fillId="12" borderId="0" xfId="16" applyFont="1" applyFill="1" applyBorder="1" applyProtection="1">
      <protection locked="0"/>
    </xf>
    <xf numFmtId="0" fontId="40" fillId="12" borderId="0" xfId="0" applyFont="1" applyFill="1"/>
    <xf numFmtId="0" fontId="27" fillId="12" borderId="8" xfId="0" applyFont="1" applyFill="1" applyBorder="1"/>
    <xf numFmtId="0" fontId="28" fillId="11" borderId="8" xfId="0" applyFont="1" applyFill="1" applyBorder="1" applyAlignment="1">
      <alignment horizontal="center"/>
    </xf>
    <xf numFmtId="0" fontId="27" fillId="11" borderId="8" xfId="0" applyFont="1" applyFill="1" applyBorder="1"/>
    <xf numFmtId="164" fontId="27" fillId="11" borderId="8" xfId="0" applyNumberFormat="1" applyFont="1" applyFill="1" applyBorder="1"/>
    <xf numFmtId="174" fontId="27" fillId="11" borderId="0" xfId="12" applyFont="1" applyFill="1"/>
    <xf numFmtId="166" fontId="27" fillId="11" borderId="0" xfId="0" applyNumberFormat="1" applyFont="1" applyFill="1"/>
    <xf numFmtId="169" fontId="41" fillId="11" borderId="0" xfId="0" applyNumberFormat="1" applyFont="1" applyFill="1"/>
    <xf numFmtId="9" fontId="41" fillId="11" borderId="0" xfId="16" applyFont="1" applyFill="1"/>
    <xf numFmtId="169" fontId="27" fillId="11" borderId="132" xfId="0" applyNumberFormat="1" applyFont="1" applyFill="1" applyBorder="1" applyAlignment="1">
      <alignment horizontal="center" vertical="center"/>
    </xf>
    <xf numFmtId="169" fontId="27" fillId="11" borderId="133" xfId="0" applyNumberFormat="1" applyFont="1" applyFill="1" applyBorder="1" applyAlignment="1">
      <alignment horizontal="center" vertical="center"/>
    </xf>
    <xf numFmtId="0" fontId="27" fillId="11" borderId="133" xfId="0" applyFont="1" applyFill="1" applyBorder="1" applyAlignment="1">
      <alignment horizontal="center" vertical="center"/>
    </xf>
    <xf numFmtId="0" fontId="27" fillId="11" borderId="89" xfId="0" applyFont="1" applyFill="1" applyBorder="1" applyAlignment="1">
      <alignment horizontal="center" vertical="center"/>
    </xf>
    <xf numFmtId="0" fontId="0" fillId="11" borderId="0" xfId="0" applyFill="1"/>
    <xf numFmtId="0" fontId="42" fillId="0" borderId="0" xfId="0" applyFont="1"/>
    <xf numFmtId="0" fontId="28" fillId="0" borderId="12" xfId="0" applyFont="1" applyBorder="1"/>
    <xf numFmtId="0" fontId="28" fillId="0" borderId="282" xfId="0" applyFont="1" applyBorder="1" applyAlignment="1">
      <alignment horizontal="left"/>
    </xf>
    <xf numFmtId="0" fontId="28" fillId="0" borderId="283" xfId="0" applyFont="1" applyBorder="1" applyAlignment="1">
      <alignment horizontal="center"/>
    </xf>
    <xf numFmtId="0" fontId="28" fillId="0" borderId="284" xfId="0" applyFont="1" applyBorder="1" applyAlignment="1">
      <alignment horizontal="center"/>
    </xf>
    <xf numFmtId="0" fontId="28" fillId="0" borderId="285" xfId="0" applyFont="1" applyBorder="1" applyAlignment="1">
      <alignment horizontal="left"/>
    </xf>
    <xf numFmtId="0" fontId="28" fillId="0" borderId="286" xfId="0" applyFont="1" applyBorder="1" applyAlignment="1">
      <alignment horizontal="center"/>
    </xf>
    <xf numFmtId="0" fontId="28" fillId="0" borderId="287" xfId="0" applyFont="1" applyBorder="1" applyAlignment="1">
      <alignment horizontal="center"/>
    </xf>
    <xf numFmtId="0" fontId="28" fillId="0" borderId="240" xfId="0" applyFont="1" applyBorder="1" applyAlignment="1">
      <alignment horizontal="center"/>
    </xf>
    <xf numFmtId="0" fontId="28" fillId="0" borderId="220" xfId="0" applyFont="1" applyBorder="1" applyAlignment="1">
      <alignment horizontal="center" wrapText="1"/>
    </xf>
    <xf numFmtId="0" fontId="28" fillId="0" borderId="220" xfId="0" applyFont="1" applyBorder="1" applyAlignment="1">
      <alignment horizontal="center"/>
    </xf>
    <xf numFmtId="0" fontId="28" fillId="0" borderId="221" xfId="0" applyFont="1" applyBorder="1" applyAlignment="1">
      <alignment horizontal="center"/>
    </xf>
    <xf numFmtId="0" fontId="28" fillId="0" borderId="288" xfId="0" applyFont="1" applyBorder="1"/>
    <xf numFmtId="171" fontId="27" fillId="0" borderId="128" xfId="0" applyNumberFormat="1" applyFont="1" applyBorder="1" applyAlignment="1">
      <alignment horizontal="center"/>
    </xf>
    <xf numFmtId="171" fontId="27" fillId="0" borderId="17" xfId="0" applyNumberFormat="1" applyFont="1" applyBorder="1" applyAlignment="1">
      <alignment horizontal="center"/>
    </xf>
    <xf numFmtId="171" fontId="27" fillId="0" borderId="227" xfId="0" applyNumberFormat="1" applyFont="1" applyBorder="1" applyAlignment="1">
      <alignment horizontal="center"/>
    </xf>
    <xf numFmtId="0" fontId="27" fillId="0" borderId="289" xfId="0" applyFont="1" applyBorder="1"/>
    <xf numFmtId="171" fontId="27" fillId="0" borderId="129" xfId="0" applyNumberFormat="1" applyFont="1" applyBorder="1" applyAlignment="1" applyProtection="1">
      <alignment horizontal="center"/>
      <protection locked="0"/>
    </xf>
    <xf numFmtId="171" fontId="27" fillId="0" borderId="14" xfId="0" applyNumberFormat="1" applyFont="1" applyBorder="1" applyAlignment="1" applyProtection="1">
      <alignment horizontal="center"/>
      <protection locked="0"/>
    </xf>
    <xf numFmtId="0" fontId="27" fillId="0" borderId="289" xfId="0" applyFont="1" applyBorder="1" applyAlignment="1">
      <alignment horizontal="left"/>
    </xf>
    <xf numFmtId="0" fontId="28" fillId="0" borderId="289" xfId="0" applyFont="1" applyBorder="1"/>
    <xf numFmtId="171" fontId="27" fillId="0" borderId="129" xfId="0" applyNumberFormat="1" applyFont="1" applyBorder="1" applyAlignment="1">
      <alignment horizontal="center"/>
    </xf>
    <xf numFmtId="171" fontId="27" fillId="0" borderId="14" xfId="0" applyNumberFormat="1" applyFont="1" applyBorder="1" applyAlignment="1">
      <alignment horizontal="center"/>
    </xf>
    <xf numFmtId="171" fontId="27" fillId="0" borderId="218" xfId="0" applyNumberFormat="1" applyFont="1" applyBorder="1" applyAlignment="1">
      <alignment horizontal="center"/>
    </xf>
    <xf numFmtId="0" fontId="28" fillId="0" borderId="289" xfId="0" applyFont="1" applyBorder="1" applyAlignment="1">
      <alignment horizontal="left"/>
    </xf>
    <xf numFmtId="171" fontId="27" fillId="12" borderId="14" xfId="0" applyNumberFormat="1" applyFont="1" applyFill="1" applyBorder="1" applyAlignment="1" applyProtection="1">
      <alignment horizontal="center"/>
      <protection locked="0"/>
    </xf>
    <xf numFmtId="171" fontId="27" fillId="12" borderId="218" xfId="0" applyNumberFormat="1" applyFont="1" applyFill="1" applyBorder="1" applyAlignment="1" applyProtection="1">
      <alignment horizontal="center"/>
      <protection locked="0"/>
    </xf>
    <xf numFmtId="171" fontId="27" fillId="12" borderId="14" xfId="0" applyNumberFormat="1" applyFont="1" applyFill="1" applyBorder="1" applyAlignment="1">
      <alignment horizontal="center"/>
    </xf>
    <xf numFmtId="171" fontId="27" fillId="12" borderId="218" xfId="0" applyNumberFormat="1" applyFont="1" applyFill="1" applyBorder="1" applyAlignment="1">
      <alignment horizontal="center"/>
    </xf>
    <xf numFmtId="0" fontId="28" fillId="0" borderId="290" xfId="0" applyFont="1" applyBorder="1"/>
    <xf numFmtId="171" fontId="27" fillId="0" borderId="291" xfId="0" applyNumberFormat="1" applyFont="1" applyBorder="1" applyAlignment="1" applyProtection="1">
      <alignment horizontal="center"/>
      <protection locked="0"/>
    </xf>
    <xf numFmtId="171" fontId="27" fillId="12" borderId="220" xfId="0" applyNumberFormat="1" applyFont="1" applyFill="1" applyBorder="1" applyAlignment="1" applyProtection="1">
      <alignment horizontal="center"/>
      <protection locked="0"/>
    </xf>
    <xf numFmtId="0" fontId="42" fillId="12" borderId="0" xfId="0" applyFont="1" applyFill="1"/>
    <xf numFmtId="0" fontId="28" fillId="12" borderId="0" xfId="0" applyFont="1" applyFill="1" applyAlignment="1">
      <alignment horizontal="left"/>
    </xf>
    <xf numFmtId="0" fontId="27" fillId="12" borderId="292" xfId="0" applyFont="1" applyFill="1" applyBorder="1"/>
    <xf numFmtId="0" fontId="28" fillId="12" borderId="127" xfId="0" applyFont="1" applyFill="1" applyBorder="1" applyAlignment="1">
      <alignment horizontal="center"/>
    </xf>
    <xf numFmtId="0" fontId="28" fillId="12" borderId="153" xfId="0" applyFont="1" applyFill="1" applyBorder="1" applyAlignment="1">
      <alignment horizontal="center"/>
    </xf>
    <xf numFmtId="0" fontId="28" fillId="12" borderId="293" xfId="0" applyFont="1" applyFill="1" applyBorder="1" applyAlignment="1">
      <alignment horizontal="center"/>
    </xf>
    <xf numFmtId="0" fontId="28" fillId="12" borderId="41" xfId="0" applyFont="1" applyFill="1" applyBorder="1"/>
    <xf numFmtId="174" fontId="27" fillId="12" borderId="127" xfId="0" applyNumberFormat="1" applyFont="1" applyFill="1" applyBorder="1" applyAlignment="1" applyProtection="1">
      <alignment horizontal="center"/>
      <protection locked="0"/>
    </xf>
    <xf numFmtId="174" fontId="27" fillId="12" borderId="293" xfId="0" applyNumberFormat="1" applyFont="1" applyFill="1" applyBorder="1" applyAlignment="1" applyProtection="1">
      <alignment horizontal="center"/>
      <protection locked="0"/>
    </xf>
    <xf numFmtId="0" fontId="27" fillId="12" borderId="273" xfId="0" applyFont="1" applyFill="1" applyBorder="1"/>
    <xf numFmtId="171" fontId="27" fillId="12" borderId="17" xfId="0" applyNumberFormat="1" applyFont="1" applyFill="1" applyBorder="1" applyAlignment="1" applyProtection="1">
      <alignment horizontal="center"/>
      <protection locked="0"/>
    </xf>
    <xf numFmtId="171" fontId="27" fillId="12" borderId="294" xfId="0" applyNumberFormat="1" applyFont="1" applyFill="1" applyBorder="1" applyAlignment="1" applyProtection="1">
      <alignment horizontal="center"/>
      <protection locked="0"/>
    </xf>
    <xf numFmtId="174" fontId="27" fillId="12" borderId="14" xfId="0" applyNumberFormat="1" applyFont="1" applyFill="1" applyBorder="1" applyProtection="1">
      <protection locked="0"/>
    </xf>
    <xf numFmtId="174" fontId="27" fillId="12" borderId="255" xfId="0" applyNumberFormat="1" applyFont="1" applyFill="1" applyBorder="1" applyProtection="1">
      <protection locked="0"/>
    </xf>
    <xf numFmtId="174" fontId="27" fillId="12" borderId="149" xfId="0" applyNumberFormat="1" applyFont="1" applyFill="1" applyBorder="1" applyProtection="1">
      <protection locked="0"/>
    </xf>
    <xf numFmtId="0" fontId="27" fillId="12" borderId="274" xfId="0" applyFont="1" applyFill="1" applyBorder="1"/>
    <xf numFmtId="174" fontId="27" fillId="12" borderId="131" xfId="0" applyNumberFormat="1" applyFont="1" applyFill="1" applyBorder="1" applyAlignment="1" applyProtection="1">
      <alignment horizontal="center"/>
      <protection locked="0"/>
    </xf>
    <xf numFmtId="171" fontId="27" fillId="12" borderId="127" xfId="0" applyNumberFormat="1" applyFont="1" applyFill="1" applyBorder="1" applyAlignment="1" applyProtection="1">
      <alignment horizontal="center"/>
      <protection locked="0"/>
    </xf>
    <xf numFmtId="171" fontId="27" fillId="12" borderId="293" xfId="0" applyNumberFormat="1" applyFont="1" applyFill="1" applyBorder="1" applyAlignment="1" applyProtection="1">
      <alignment horizontal="center"/>
      <protection locked="0"/>
    </xf>
    <xf numFmtId="174" fontId="27" fillId="12" borderId="17" xfId="0" applyNumberFormat="1" applyFont="1" applyFill="1" applyBorder="1" applyProtection="1">
      <protection locked="0"/>
    </xf>
    <xf numFmtId="174" fontId="27" fillId="12" borderId="144" xfId="0" applyNumberFormat="1" applyFont="1" applyFill="1" applyBorder="1" applyProtection="1">
      <protection locked="0"/>
    </xf>
    <xf numFmtId="171" fontId="27" fillId="12" borderId="255" xfId="0" applyNumberFormat="1" applyFont="1" applyFill="1" applyBorder="1" applyAlignment="1" applyProtection="1">
      <alignment horizontal="center"/>
      <protection locked="0"/>
    </xf>
    <xf numFmtId="171" fontId="27" fillId="12" borderId="258" xfId="0" applyNumberFormat="1" applyFont="1" applyFill="1" applyBorder="1" applyAlignment="1" applyProtection="1">
      <alignment horizontal="center"/>
      <protection locked="0"/>
    </xf>
    <xf numFmtId="0" fontId="27" fillId="12" borderId="40" xfId="0" applyFont="1" applyFill="1" applyBorder="1"/>
    <xf numFmtId="171" fontId="27" fillId="12" borderId="40" xfId="0" applyNumberFormat="1" applyFont="1" applyFill="1" applyBorder="1" applyAlignment="1">
      <alignment horizontal="center"/>
    </xf>
    <xf numFmtId="0" fontId="28" fillId="12" borderId="272" xfId="0" applyFont="1" applyFill="1" applyBorder="1"/>
    <xf numFmtId="171" fontId="27" fillId="12" borderId="252" xfId="0" applyNumberFormat="1" applyFont="1" applyFill="1" applyBorder="1" applyAlignment="1" applyProtection="1">
      <alignment horizontal="center"/>
      <protection locked="0"/>
    </xf>
    <xf numFmtId="171" fontId="27" fillId="12" borderId="253" xfId="0" applyNumberFormat="1" applyFont="1" applyFill="1" applyBorder="1" applyAlignment="1" applyProtection="1">
      <alignment horizontal="center"/>
      <protection locked="0"/>
    </xf>
    <xf numFmtId="0" fontId="28" fillId="12" borderId="274" xfId="0" applyFont="1" applyFill="1" applyBorder="1"/>
    <xf numFmtId="171" fontId="27" fillId="12" borderId="131" xfId="0" applyNumberFormat="1" applyFont="1" applyFill="1" applyBorder="1" applyAlignment="1" applyProtection="1">
      <alignment horizontal="center"/>
      <protection locked="0"/>
    </xf>
    <xf numFmtId="171" fontId="27" fillId="12" borderId="151" xfId="0" applyNumberFormat="1" applyFont="1" applyFill="1" applyBorder="1" applyAlignment="1" applyProtection="1">
      <alignment horizontal="center"/>
      <protection locked="0"/>
    </xf>
    <xf numFmtId="0" fontId="28" fillId="12" borderId="40" xfId="0" applyFont="1" applyFill="1" applyBorder="1"/>
    <xf numFmtId="171" fontId="28" fillId="12" borderId="252" xfId="0" applyNumberFormat="1" applyFont="1" applyFill="1" applyBorder="1" applyAlignment="1" applyProtection="1">
      <alignment horizontal="center"/>
      <protection locked="0"/>
    </xf>
    <xf numFmtId="171" fontId="28" fillId="12" borderId="253" xfId="0" applyNumberFormat="1" applyFont="1" applyFill="1" applyBorder="1" applyAlignment="1" applyProtection="1">
      <alignment horizontal="center"/>
      <protection locked="0"/>
    </xf>
    <xf numFmtId="0" fontId="28" fillId="12" borderId="256" xfId="0" applyFont="1" applyFill="1" applyBorder="1"/>
    <xf numFmtId="171" fontId="28" fillId="12" borderId="131" xfId="0" applyNumberFormat="1" applyFont="1" applyFill="1" applyBorder="1" applyProtection="1">
      <protection locked="0"/>
    </xf>
    <xf numFmtId="171" fontId="28" fillId="12" borderId="258" xfId="0" applyNumberFormat="1" applyFont="1" applyFill="1" applyBorder="1" applyProtection="1">
      <protection locked="0"/>
    </xf>
    <xf numFmtId="0" fontId="27" fillId="12" borderId="41" xfId="0" applyFont="1" applyFill="1" applyBorder="1"/>
    <xf numFmtId="0" fontId="28" fillId="12" borderId="39" xfId="0" applyFont="1" applyFill="1" applyBorder="1" applyAlignment="1">
      <alignment horizontal="center"/>
    </xf>
    <xf numFmtId="171" fontId="28" fillId="12" borderId="39" xfId="0" applyNumberFormat="1" applyFont="1" applyFill="1" applyBorder="1" applyAlignment="1" applyProtection="1">
      <alignment horizontal="center"/>
      <protection locked="0"/>
    </xf>
    <xf numFmtId="0" fontId="28" fillId="12" borderId="295" xfId="0" applyFont="1" applyFill="1" applyBorder="1"/>
    <xf numFmtId="171" fontId="27" fillId="12" borderId="296" xfId="0" applyNumberFormat="1" applyFont="1" applyFill="1" applyBorder="1" applyAlignment="1">
      <alignment horizontal="center"/>
    </xf>
    <xf numFmtId="171" fontId="27" fillId="12" borderId="297" xfId="0" applyNumberFormat="1" applyFont="1" applyFill="1" applyBorder="1" applyAlignment="1">
      <alignment horizontal="center"/>
    </xf>
    <xf numFmtId="0" fontId="27" fillId="12" borderId="298" xfId="0" applyFont="1" applyFill="1" applyBorder="1"/>
    <xf numFmtId="171" fontId="27" fillId="12" borderId="286" xfId="0" applyNumberFormat="1" applyFont="1" applyFill="1" applyBorder="1" applyAlignment="1" applyProtection="1">
      <alignment horizontal="center"/>
      <protection locked="0"/>
    </xf>
    <xf numFmtId="171" fontId="27" fillId="12" borderId="299" xfId="0" applyNumberFormat="1" applyFont="1" applyFill="1" applyBorder="1" applyAlignment="1" applyProtection="1">
      <alignment horizontal="center"/>
      <protection locked="0"/>
    </xf>
    <xf numFmtId="0" fontId="28" fillId="12" borderId="298" xfId="0" applyFont="1" applyFill="1" applyBorder="1"/>
    <xf numFmtId="0" fontId="28" fillId="0" borderId="300" xfId="0" applyFont="1" applyBorder="1"/>
    <xf numFmtId="171" fontId="27" fillId="0" borderId="150" xfId="0" applyNumberFormat="1" applyFont="1" applyBorder="1" applyAlignment="1" applyProtection="1">
      <alignment horizontal="center"/>
      <protection locked="0"/>
    </xf>
    <xf numFmtId="171" fontId="27" fillId="0" borderId="301" xfId="0" applyNumberFormat="1" applyFont="1" applyBorder="1" applyAlignment="1" applyProtection="1">
      <alignment horizontal="center"/>
      <protection locked="0"/>
    </xf>
    <xf numFmtId="171" fontId="27" fillId="0" borderId="302" xfId="0" applyNumberFormat="1" applyFont="1" applyBorder="1" applyAlignment="1" applyProtection="1">
      <alignment horizontal="center"/>
      <protection locked="0"/>
    </xf>
    <xf numFmtId="171" fontId="27" fillId="12" borderId="278" xfId="0" applyNumberFormat="1" applyFont="1" applyFill="1" applyBorder="1" applyAlignment="1" applyProtection="1">
      <alignment horizontal="center"/>
      <protection locked="0"/>
    </xf>
    <xf numFmtId="0" fontId="28" fillId="0" borderId="41" xfId="0" applyFont="1" applyBorder="1"/>
    <xf numFmtId="171" fontId="27" fillId="0" borderId="33" xfId="0" applyNumberFormat="1" applyFont="1" applyBorder="1" applyAlignment="1" applyProtection="1">
      <alignment horizontal="center"/>
      <protection locked="0"/>
    </xf>
    <xf numFmtId="171" fontId="27" fillId="0" borderId="39" xfId="0" applyNumberFormat="1" applyFont="1" applyBorder="1" applyAlignment="1" applyProtection="1">
      <alignment horizontal="center"/>
      <protection locked="0"/>
    </xf>
    <xf numFmtId="171" fontId="27" fillId="12" borderId="33" xfId="0" applyNumberFormat="1" applyFont="1" applyFill="1" applyBorder="1" applyAlignment="1" applyProtection="1">
      <alignment horizontal="center"/>
      <protection locked="0"/>
    </xf>
    <xf numFmtId="0" fontId="28" fillId="12" borderId="300" xfId="0" applyFont="1" applyFill="1" applyBorder="1"/>
    <xf numFmtId="0" fontId="43" fillId="12" borderId="0" xfId="0" applyFont="1" applyFill="1" applyAlignment="1">
      <alignment horizontal="center"/>
    </xf>
    <xf numFmtId="174" fontId="27" fillId="12" borderId="0" xfId="12" applyFont="1" applyFill="1" applyBorder="1" applyAlignment="1">
      <alignment horizontal="center" vertical="center"/>
    </xf>
    <xf numFmtId="9" fontId="0" fillId="20" borderId="13" xfId="0" applyNumberFormat="1" applyFill="1" applyBorder="1" applyAlignment="1" applyProtection="1">
      <alignment horizontal="center"/>
      <protection locked="0"/>
    </xf>
    <xf numFmtId="0" fontId="28" fillId="0" borderId="228" xfId="0" applyFont="1" applyBorder="1" applyAlignment="1">
      <alignment horizontal="left"/>
    </xf>
    <xf numFmtId="0" fontId="28" fillId="0" borderId="308" xfId="0" applyFont="1" applyBorder="1" applyAlignment="1">
      <alignment horizontal="center"/>
    </xf>
    <xf numFmtId="0" fontId="28" fillId="0" borderId="309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0" fillId="0" borderId="311" xfId="0" applyBorder="1"/>
    <xf numFmtId="0" fontId="18" fillId="0" borderId="312" xfId="0" applyFont="1" applyBorder="1"/>
    <xf numFmtId="0" fontId="0" fillId="0" borderId="145" xfId="0" applyBorder="1" applyAlignment="1">
      <alignment horizontal="left"/>
    </xf>
    <xf numFmtId="0" fontId="18" fillId="0" borderId="67" xfId="0" applyFont="1" applyBorder="1" applyAlignment="1" applyProtection="1">
      <alignment horizontal="center"/>
      <protection locked="0"/>
    </xf>
    <xf numFmtId="171" fontId="0" fillId="0" borderId="145" xfId="0" applyNumberFormat="1" applyBorder="1" applyAlignment="1" applyProtection="1">
      <alignment horizontal="center"/>
      <protection locked="0"/>
    </xf>
    <xf numFmtId="171" fontId="0" fillId="0" borderId="311" xfId="0" applyNumberFormat="1" applyBorder="1" applyAlignment="1" applyProtection="1">
      <alignment horizontal="center"/>
      <protection locked="0"/>
    </xf>
    <xf numFmtId="177" fontId="18" fillId="0" borderId="312" xfId="0" applyNumberFormat="1" applyFont="1" applyBorder="1" applyAlignment="1" applyProtection="1">
      <alignment horizontal="center"/>
      <protection locked="0"/>
    </xf>
    <xf numFmtId="180" fontId="0" fillId="0" borderId="145" xfId="0" applyNumberFormat="1" applyBorder="1" applyAlignment="1" applyProtection="1">
      <alignment horizontal="center"/>
      <protection locked="0"/>
    </xf>
    <xf numFmtId="180" fontId="0" fillId="0" borderId="311" xfId="0" applyNumberFormat="1" applyBorder="1" applyAlignment="1" applyProtection="1">
      <alignment horizontal="center"/>
      <protection locked="0"/>
    </xf>
    <xf numFmtId="9" fontId="18" fillId="0" borderId="312" xfId="0" applyNumberFormat="1" applyFont="1" applyBorder="1" applyAlignment="1" applyProtection="1">
      <alignment horizontal="center"/>
      <protection locked="0"/>
    </xf>
    <xf numFmtId="171" fontId="18" fillId="0" borderId="312" xfId="0" applyNumberFormat="1" applyFont="1" applyBorder="1" applyAlignment="1" applyProtection="1">
      <alignment horizontal="center"/>
      <protection locked="0"/>
    </xf>
    <xf numFmtId="9" fontId="0" fillId="0" borderId="145" xfId="0" applyNumberFormat="1" applyBorder="1" applyAlignment="1" applyProtection="1">
      <alignment horizontal="center"/>
      <protection locked="0"/>
    </xf>
    <xf numFmtId="9" fontId="0" fillId="0" borderId="311" xfId="0" applyNumberFormat="1" applyBorder="1" applyAlignment="1" applyProtection="1">
      <alignment horizontal="center"/>
      <protection locked="0"/>
    </xf>
    <xf numFmtId="171" fontId="0" fillId="0" borderId="146" xfId="0" applyNumberFormat="1" applyBorder="1" applyAlignment="1" applyProtection="1">
      <alignment horizontal="center"/>
      <protection locked="0"/>
    </xf>
    <xf numFmtId="171" fontId="0" fillId="0" borderId="286" xfId="0" applyNumberFormat="1" applyBorder="1" applyAlignment="1" applyProtection="1">
      <alignment horizontal="center"/>
      <protection locked="0"/>
    </xf>
    <xf numFmtId="171" fontId="0" fillId="0" borderId="0" xfId="0" applyNumberFormat="1" applyBorder="1" applyAlignment="1" applyProtection="1">
      <alignment horizontal="center"/>
      <protection locked="0"/>
    </xf>
    <xf numFmtId="0" fontId="18" fillId="0" borderId="171" xfId="0" applyFont="1" applyBorder="1" applyAlignment="1">
      <alignment horizontal="center"/>
    </xf>
    <xf numFmtId="0" fontId="18" fillId="0" borderId="122" xfId="0" applyFont="1" applyBorder="1" applyAlignment="1">
      <alignment horizontal="center"/>
    </xf>
    <xf numFmtId="0" fontId="28" fillId="0" borderId="138" xfId="0" applyFont="1" applyBorder="1" applyAlignment="1">
      <alignment horizontal="left"/>
    </xf>
    <xf numFmtId="0" fontId="28" fillId="0" borderId="139" xfId="0" applyFont="1" applyBorder="1" applyAlignment="1">
      <alignment horizontal="left"/>
    </xf>
    <xf numFmtId="0" fontId="28" fillId="0" borderId="142" xfId="0" applyFont="1" applyBorder="1" applyAlignment="1">
      <alignment horizontal="left"/>
    </xf>
    <xf numFmtId="175" fontId="0" fillId="0" borderId="155" xfId="0" applyNumberFormat="1" applyBorder="1" applyProtection="1">
      <protection locked="0"/>
    </xf>
    <xf numFmtId="171" fontId="0" fillId="0" borderId="313" xfId="0" applyNumberFormat="1" applyBorder="1" applyAlignment="1" applyProtection="1">
      <alignment horizontal="center"/>
      <protection locked="0"/>
    </xf>
    <xf numFmtId="175" fontId="0" fillId="0" borderId="69" xfId="0" applyNumberFormat="1" applyBorder="1" applyProtection="1">
      <protection locked="0"/>
    </xf>
    <xf numFmtId="0" fontId="18" fillId="0" borderId="123" xfId="0" applyFont="1" applyBorder="1" applyAlignment="1">
      <alignment horizontal="right"/>
    </xf>
    <xf numFmtId="171" fontId="18" fillId="0" borderId="119" xfId="0" applyNumberFormat="1" applyFont="1" applyBorder="1" applyAlignment="1">
      <alignment horizontal="center"/>
    </xf>
    <xf numFmtId="171" fontId="18" fillId="0" borderId="124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75" fontId="0" fillId="0" borderId="314" xfId="0" applyNumberFormat="1" applyBorder="1" applyProtection="1">
      <protection locked="0"/>
    </xf>
    <xf numFmtId="175" fontId="0" fillId="0" borderId="315" xfId="0" applyNumberFormat="1" applyBorder="1" applyProtection="1">
      <protection locked="0"/>
    </xf>
    <xf numFmtId="175" fontId="0" fillId="0" borderId="316" xfId="0" applyNumberFormat="1" applyBorder="1" applyProtection="1">
      <protection locked="0"/>
    </xf>
    <xf numFmtId="171" fontId="0" fillId="0" borderId="171" xfId="0" applyNumberFormat="1" applyBorder="1" applyAlignment="1" applyProtection="1">
      <alignment horizontal="center"/>
      <protection locked="0"/>
    </xf>
    <xf numFmtId="171" fontId="0" fillId="0" borderId="317" xfId="0" applyNumberFormat="1" applyBorder="1" applyAlignment="1" applyProtection="1">
      <alignment horizontal="center"/>
      <protection locked="0"/>
    </xf>
    <xf numFmtId="171" fontId="0" fillId="0" borderId="312" xfId="0" applyNumberFormat="1" applyBorder="1" applyAlignment="1" applyProtection="1">
      <alignment horizontal="center"/>
      <protection locked="0"/>
    </xf>
    <xf numFmtId="171" fontId="18" fillId="0" borderId="67" xfId="0" applyNumberFormat="1" applyFont="1" applyBorder="1" applyAlignment="1">
      <alignment horizontal="center"/>
    </xf>
    <xf numFmtId="0" fontId="28" fillId="0" borderId="140" xfId="0" applyFont="1" applyBorder="1" applyAlignment="1">
      <alignment horizontal="left"/>
    </xf>
    <xf numFmtId="171" fontId="0" fillId="0" borderId="155" xfId="0" applyNumberFormat="1" applyBorder="1" applyAlignment="1" applyProtection="1">
      <alignment horizontal="center"/>
      <protection locked="0"/>
    </xf>
    <xf numFmtId="171" fontId="0" fillId="0" borderId="69" xfId="0" applyNumberFormat="1" applyBorder="1" applyAlignment="1" applyProtection="1">
      <alignment horizontal="center"/>
      <protection locked="0"/>
    </xf>
    <xf numFmtId="171" fontId="0" fillId="0" borderId="314" xfId="0" applyNumberFormat="1" applyBorder="1" applyAlignment="1" applyProtection="1">
      <alignment horizontal="center"/>
      <protection locked="0"/>
    </xf>
    <xf numFmtId="171" fontId="0" fillId="0" borderId="315" xfId="0" applyNumberFormat="1" applyBorder="1" applyAlignment="1" applyProtection="1">
      <alignment horizontal="center"/>
      <protection locked="0"/>
    </xf>
    <xf numFmtId="171" fontId="0" fillId="0" borderId="316" xfId="0" applyNumberFormat="1" applyBorder="1" applyAlignment="1" applyProtection="1">
      <alignment horizontal="center"/>
      <protection locked="0"/>
    </xf>
    <xf numFmtId="171" fontId="18" fillId="0" borderId="123" xfId="0" applyNumberFormat="1" applyFont="1" applyBorder="1" applyAlignment="1">
      <alignment horizontal="center"/>
    </xf>
    <xf numFmtId="0" fontId="28" fillId="0" borderId="141" xfId="0" applyFont="1" applyBorder="1" applyAlignment="1">
      <alignment horizontal="left"/>
    </xf>
    <xf numFmtId="0" fontId="28" fillId="0" borderId="67" xfId="0" applyFont="1" applyBorder="1" applyAlignment="1">
      <alignment horizontal="left"/>
    </xf>
    <xf numFmtId="171" fontId="0" fillId="0" borderId="171" xfId="0" applyNumberFormat="1" applyBorder="1" applyProtection="1">
      <protection locked="0"/>
    </xf>
    <xf numFmtId="171" fontId="0" fillId="0" borderId="317" xfId="0" applyNumberFormat="1" applyBorder="1" applyProtection="1">
      <protection locked="0"/>
    </xf>
    <xf numFmtId="171" fontId="0" fillId="0" borderId="145" xfId="0" applyNumberFormat="1" applyBorder="1" applyProtection="1">
      <protection locked="0"/>
    </xf>
    <xf numFmtId="171" fontId="0" fillId="0" borderId="311" xfId="0" applyNumberFormat="1" applyBorder="1" applyProtection="1">
      <protection locked="0"/>
    </xf>
    <xf numFmtId="171" fontId="0" fillId="0" borderId="312" xfId="0" applyNumberFormat="1" applyBorder="1" applyProtection="1">
      <protection locked="0"/>
    </xf>
    <xf numFmtId="0" fontId="18" fillId="0" borderId="31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71" fontId="0" fillId="0" borderId="318" xfId="0" applyNumberFormat="1" applyBorder="1" applyAlignment="1" applyProtection="1">
      <alignment horizontal="center"/>
      <protection locked="0"/>
    </xf>
    <xf numFmtId="171" fontId="0" fillId="0" borderId="319" xfId="0" applyNumberFormat="1" applyBorder="1" applyAlignment="1" applyProtection="1">
      <alignment horizontal="center"/>
      <protection locked="0"/>
    </xf>
    <xf numFmtId="171" fontId="0" fillId="0" borderId="320" xfId="0" applyNumberFormat="1" applyBorder="1" applyAlignment="1" applyProtection="1">
      <alignment horizontal="center"/>
      <protection locked="0"/>
    </xf>
    <xf numFmtId="9" fontId="0" fillId="0" borderId="171" xfId="0" applyNumberFormat="1" applyBorder="1" applyProtection="1">
      <protection locked="0"/>
    </xf>
    <xf numFmtId="9" fontId="0" fillId="0" borderId="317" xfId="0" applyNumberFormat="1" applyBorder="1" applyProtection="1">
      <protection locked="0"/>
    </xf>
    <xf numFmtId="9" fontId="0" fillId="0" borderId="145" xfId="0" applyNumberFormat="1" applyBorder="1" applyProtection="1">
      <protection locked="0"/>
    </xf>
    <xf numFmtId="9" fontId="0" fillId="0" borderId="311" xfId="0" applyNumberFormat="1" applyBorder="1" applyProtection="1">
      <protection locked="0"/>
    </xf>
    <xf numFmtId="9" fontId="0" fillId="0" borderId="312" xfId="0" applyNumberFormat="1" applyBorder="1" applyProtection="1">
      <protection locked="0"/>
    </xf>
    <xf numFmtId="171" fontId="0" fillId="0" borderId="321" xfId="0" applyNumberFormat="1" applyBorder="1" applyAlignment="1" applyProtection="1">
      <alignment horizontal="center"/>
      <protection locked="0"/>
    </xf>
    <xf numFmtId="171" fontId="18" fillId="0" borderId="123" xfId="0" applyNumberFormat="1" applyFont="1" applyBorder="1" applyAlignment="1" applyProtection="1">
      <alignment horizontal="center"/>
      <protection locked="0"/>
    </xf>
    <xf numFmtId="171" fontId="18" fillId="0" borderId="67" xfId="0" applyNumberFormat="1" applyFont="1" applyBorder="1" applyAlignment="1" applyProtection="1">
      <alignment horizontal="center"/>
      <protection locked="0"/>
    </xf>
    <xf numFmtId="171" fontId="18" fillId="0" borderId="119" xfId="0" applyNumberFormat="1" applyFont="1" applyBorder="1" applyAlignment="1" applyProtection="1">
      <alignment horizontal="center"/>
      <protection locked="0"/>
    </xf>
    <xf numFmtId="9" fontId="18" fillId="0" borderId="67" xfId="0" applyNumberFormat="1" applyFont="1" applyBorder="1"/>
    <xf numFmtId="175" fontId="0" fillId="0" borderId="171" xfId="0" applyNumberFormat="1" applyBorder="1" applyProtection="1">
      <protection locked="0"/>
    </xf>
    <xf numFmtId="175" fontId="0" fillId="0" borderId="317" xfId="0" applyNumberFormat="1" applyBorder="1" applyProtection="1">
      <protection locked="0"/>
    </xf>
    <xf numFmtId="49" fontId="0" fillId="0" borderId="122" xfId="0" applyNumberFormat="1" applyBorder="1" applyProtection="1">
      <protection locked="0"/>
    </xf>
    <xf numFmtId="171" fontId="0" fillId="0" borderId="122" xfId="0" applyNumberFormat="1" applyBorder="1" applyAlignment="1" applyProtection="1">
      <alignment horizontal="center"/>
      <protection locked="0"/>
    </xf>
    <xf numFmtId="171" fontId="18" fillId="0" borderId="124" xfId="0" applyNumberFormat="1" applyFont="1" applyBorder="1"/>
    <xf numFmtId="171" fontId="18" fillId="0" borderId="124" xfId="0" applyNumberFormat="1" applyFont="1" applyBorder="1" applyAlignment="1" applyProtection="1">
      <alignment horizontal="center"/>
      <protection locked="0"/>
    </xf>
    <xf numFmtId="2" fontId="0" fillId="0" borderId="317" xfId="0" applyNumberFormat="1" applyBorder="1" applyAlignment="1" applyProtection="1">
      <alignment horizontal="center"/>
      <protection locked="0"/>
    </xf>
    <xf numFmtId="0" fontId="44" fillId="12" borderId="0" xfId="0" applyFont="1" applyFill="1"/>
    <xf numFmtId="0" fontId="19" fillId="12" borderId="0" xfId="0" applyFont="1" applyFill="1"/>
    <xf numFmtId="0" fontId="18" fillId="12" borderId="0" xfId="0" applyFont="1" applyFill="1"/>
    <xf numFmtId="0" fontId="18" fillId="12" borderId="0" xfId="0" applyFont="1" applyFill="1" applyAlignment="1">
      <alignment horizontal="left"/>
    </xf>
    <xf numFmtId="0" fontId="18" fillId="12" borderId="0" xfId="0" applyFont="1" applyFill="1" applyAlignment="1">
      <alignment horizontal="center"/>
    </xf>
    <xf numFmtId="0" fontId="18" fillId="12" borderId="33" xfId="0" applyFont="1" applyFill="1" applyBorder="1" applyAlignment="1">
      <alignment horizontal="center" vertical="center"/>
    </xf>
    <xf numFmtId="0" fontId="18" fillId="12" borderId="126" xfId="0" applyFont="1" applyFill="1" applyBorder="1" applyAlignment="1">
      <alignment horizontal="center" vertical="center" wrapText="1"/>
    </xf>
    <xf numFmtId="0" fontId="18" fillId="12" borderId="127" xfId="0" applyFont="1" applyFill="1" applyBorder="1" applyAlignment="1">
      <alignment horizontal="center" vertical="center" wrapText="1"/>
    </xf>
    <xf numFmtId="0" fontId="18" fillId="12" borderId="153" xfId="0" applyFont="1" applyFill="1" applyBorder="1" applyAlignment="1">
      <alignment horizontal="center" vertical="center" wrapText="1"/>
    </xf>
    <xf numFmtId="0" fontId="18" fillId="12" borderId="33" xfId="0" applyFont="1" applyFill="1" applyBorder="1" applyAlignment="1">
      <alignment horizontal="center" vertical="center" wrapText="1"/>
    </xf>
    <xf numFmtId="0" fontId="18" fillId="12" borderId="41" xfId="0" applyFont="1" applyFill="1" applyBorder="1" applyAlignment="1">
      <alignment horizontal="center" vertical="center" wrapText="1"/>
    </xf>
    <xf numFmtId="0" fontId="18" fillId="12" borderId="293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vertical="center"/>
    </xf>
    <xf numFmtId="0" fontId="18" fillId="12" borderId="143" xfId="0" applyFont="1" applyFill="1" applyBorder="1" applyAlignment="1">
      <alignment horizontal="center"/>
    </xf>
    <xf numFmtId="171" fontId="19" fillId="12" borderId="129" xfId="0" applyNumberFormat="1" applyFont="1" applyFill="1" applyBorder="1" applyAlignment="1" applyProtection="1">
      <alignment horizontal="center"/>
      <protection locked="0"/>
    </xf>
    <xf numFmtId="171" fontId="19" fillId="12" borderId="17" xfId="0" applyNumberFormat="1" applyFont="1" applyFill="1" applyBorder="1" applyAlignment="1" applyProtection="1">
      <alignment horizontal="center"/>
      <protection locked="0"/>
    </xf>
    <xf numFmtId="171" fontId="19" fillId="12" borderId="144" xfId="0" applyNumberFormat="1" applyFont="1" applyFill="1" applyBorder="1" applyAlignment="1" applyProtection="1">
      <alignment horizontal="center"/>
      <protection locked="0"/>
    </xf>
    <xf numFmtId="171" fontId="19" fillId="12" borderId="143" xfId="0" applyNumberFormat="1" applyFont="1" applyFill="1" applyBorder="1" applyAlignment="1" applyProtection="1">
      <alignment horizontal="center"/>
      <protection locked="0"/>
    </xf>
    <xf numFmtId="171" fontId="19" fillId="12" borderId="128" xfId="0" applyNumberFormat="1" applyFont="1" applyFill="1" applyBorder="1" applyAlignment="1" applyProtection="1">
      <alignment horizontal="center"/>
      <protection locked="0"/>
    </xf>
    <xf numFmtId="171" fontId="19" fillId="12" borderId="295" xfId="0" applyNumberFormat="1" applyFont="1" applyFill="1" applyBorder="1" applyAlignment="1" applyProtection="1">
      <alignment horizontal="center"/>
      <protection locked="0"/>
    </xf>
    <xf numFmtId="171" fontId="19" fillId="12" borderId="253" xfId="0" applyNumberFormat="1" applyFont="1" applyFill="1" applyBorder="1" applyAlignment="1" applyProtection="1">
      <alignment horizontal="center"/>
      <protection locked="0"/>
    </xf>
    <xf numFmtId="0" fontId="18" fillId="12" borderId="148" xfId="0" applyFont="1" applyFill="1" applyBorder="1" applyAlignment="1">
      <alignment horizontal="center"/>
    </xf>
    <xf numFmtId="171" fontId="19" fillId="12" borderId="14" xfId="0" applyNumberFormat="1" applyFont="1" applyFill="1" applyBorder="1" applyAlignment="1" applyProtection="1">
      <alignment horizontal="center"/>
      <protection locked="0"/>
    </xf>
    <xf numFmtId="171" fontId="19" fillId="12" borderId="149" xfId="0" applyNumberFormat="1" applyFont="1" applyFill="1" applyBorder="1" applyAlignment="1" applyProtection="1">
      <alignment horizontal="center"/>
      <protection locked="0"/>
    </xf>
    <xf numFmtId="171" fontId="19" fillId="12" borderId="303" xfId="0" applyNumberFormat="1" applyFont="1" applyFill="1" applyBorder="1" applyAlignment="1" applyProtection="1">
      <alignment horizontal="center"/>
      <protection locked="0"/>
    </xf>
    <xf numFmtId="171" fontId="19" fillId="12" borderId="255" xfId="0" applyNumberFormat="1" applyFont="1" applyFill="1" applyBorder="1" applyAlignment="1" applyProtection="1">
      <alignment horizontal="center"/>
      <protection locked="0"/>
    </xf>
    <xf numFmtId="0" fontId="18" fillId="12" borderId="281" xfId="0" applyFont="1" applyFill="1" applyBorder="1" applyAlignment="1">
      <alignment horizontal="center"/>
    </xf>
    <xf numFmtId="171" fontId="19" fillId="12" borderId="279" xfId="0" applyNumberFormat="1" applyFont="1" applyFill="1" applyBorder="1" applyAlignment="1" applyProtection="1">
      <alignment horizontal="center"/>
      <protection locked="0"/>
    </xf>
    <xf numFmtId="171" fontId="19" fillId="12" borderId="226" xfId="0" applyNumberFormat="1" applyFont="1" applyFill="1" applyBorder="1" applyAlignment="1" applyProtection="1">
      <alignment horizontal="center"/>
      <protection locked="0"/>
    </xf>
    <xf numFmtId="171" fontId="19" fillId="12" borderId="222" xfId="0" applyNumberFormat="1" applyFont="1" applyFill="1" applyBorder="1" applyAlignment="1" applyProtection="1">
      <alignment horizontal="center"/>
      <protection locked="0"/>
    </xf>
    <xf numFmtId="171" fontId="19" fillId="12" borderId="280" xfId="0" applyNumberFormat="1" applyFont="1" applyFill="1" applyBorder="1" applyAlignment="1" applyProtection="1">
      <alignment horizontal="center"/>
      <protection locked="0"/>
    </xf>
    <xf numFmtId="171" fontId="19" fillId="12" borderId="269" xfId="0" applyNumberFormat="1" applyFont="1" applyFill="1" applyBorder="1" applyAlignment="1" applyProtection="1">
      <alignment horizontal="center"/>
      <protection locked="0"/>
    </xf>
    <xf numFmtId="171" fontId="19" fillId="12" borderId="304" xfId="0" applyNumberFormat="1" applyFont="1" applyFill="1" applyBorder="1" applyAlignment="1" applyProtection="1">
      <alignment horizontal="center"/>
      <protection locked="0"/>
    </xf>
    <xf numFmtId="171" fontId="19" fillId="12" borderId="305" xfId="0" applyNumberFormat="1" applyFont="1" applyFill="1" applyBorder="1" applyAlignment="1" applyProtection="1">
      <alignment horizontal="center"/>
      <protection locked="0"/>
    </xf>
    <xf numFmtId="171" fontId="19" fillId="12" borderId="274" xfId="0" applyNumberFormat="1" applyFont="1" applyFill="1" applyBorder="1" applyAlignment="1" applyProtection="1">
      <alignment horizontal="center"/>
      <protection locked="0"/>
    </xf>
    <xf numFmtId="171" fontId="18" fillId="12" borderId="258" xfId="0" applyNumberFormat="1" applyFont="1" applyFill="1" applyBorder="1" applyAlignment="1" applyProtection="1">
      <alignment horizontal="center"/>
      <protection locked="0"/>
    </xf>
    <xf numFmtId="0" fontId="18" fillId="12" borderId="33" xfId="0" applyFont="1" applyFill="1" applyBorder="1" applyAlignment="1">
      <alignment horizontal="center"/>
    </xf>
    <xf numFmtId="171" fontId="19" fillId="12" borderId="127" xfId="0" applyNumberFormat="1" applyFont="1" applyFill="1" applyBorder="1" applyAlignment="1" applyProtection="1">
      <alignment horizontal="center"/>
      <protection locked="0"/>
    </xf>
    <xf numFmtId="171" fontId="19" fillId="12" borderId="153" xfId="0" applyNumberFormat="1" applyFont="1" applyFill="1" applyBorder="1" applyAlignment="1" applyProtection="1">
      <alignment horizontal="center"/>
      <protection locked="0"/>
    </xf>
    <xf numFmtId="171" fontId="19" fillId="12" borderId="33" xfId="0" applyNumberFormat="1" applyFont="1" applyFill="1" applyBorder="1" applyAlignment="1" applyProtection="1">
      <alignment horizontal="center"/>
      <protection locked="0"/>
    </xf>
    <xf numFmtId="171" fontId="19" fillId="12" borderId="126" xfId="0" applyNumberFormat="1" applyFont="1" applyFill="1" applyBorder="1" applyAlignment="1" applyProtection="1">
      <alignment horizontal="center"/>
      <protection locked="0"/>
    </xf>
    <xf numFmtId="171" fontId="18" fillId="12" borderId="127" xfId="0" applyNumberFormat="1" applyFont="1" applyFill="1" applyBorder="1" applyAlignment="1" applyProtection="1">
      <alignment horizontal="center"/>
      <protection locked="0"/>
    </xf>
    <xf numFmtId="171" fontId="18" fillId="12" borderId="270" xfId="0" applyNumberFormat="1" applyFont="1" applyFill="1" applyBorder="1" applyAlignment="1" applyProtection="1">
      <alignment horizontal="center"/>
      <protection locked="0"/>
    </xf>
    <xf numFmtId="171" fontId="19" fillId="12" borderId="0" xfId="0" applyNumberFormat="1" applyFont="1" applyFill="1" applyAlignment="1" applyProtection="1">
      <alignment horizontal="center"/>
      <protection locked="0"/>
    </xf>
    <xf numFmtId="0" fontId="18" fillId="12" borderId="272" xfId="0" applyFont="1" applyFill="1" applyBorder="1" applyAlignment="1">
      <alignment horizontal="center" vertical="center"/>
    </xf>
    <xf numFmtId="171" fontId="18" fillId="12" borderId="47" xfId="0" applyNumberFormat="1" applyFont="1" applyFill="1" applyBorder="1" applyProtection="1">
      <protection locked="0"/>
    </xf>
    <xf numFmtId="167" fontId="19" fillId="12" borderId="0" xfId="0" applyNumberFormat="1" applyFont="1" applyFill="1"/>
    <xf numFmtId="2" fontId="19" fillId="12" borderId="0" xfId="0" applyNumberFormat="1" applyFont="1" applyFill="1"/>
    <xf numFmtId="169" fontId="19" fillId="12" borderId="0" xfId="0" applyNumberFormat="1" applyFont="1" applyFill="1"/>
    <xf numFmtId="0" fontId="18" fillId="12" borderId="273" xfId="0" applyFont="1" applyFill="1" applyBorder="1" applyAlignment="1">
      <alignment horizontal="center" vertical="center"/>
    </xf>
    <xf numFmtId="171" fontId="18" fillId="12" borderId="271" xfId="0" applyNumberFormat="1" applyFont="1" applyFill="1" applyBorder="1" applyProtection="1">
      <protection locked="0"/>
    </xf>
    <xf numFmtId="174" fontId="19" fillId="12" borderId="0" xfId="12" applyFont="1" applyFill="1"/>
    <xf numFmtId="167" fontId="18" fillId="12" borderId="271" xfId="0" applyNumberFormat="1" applyFont="1" applyFill="1" applyBorder="1" applyProtection="1">
      <protection locked="0"/>
    </xf>
    <xf numFmtId="0" fontId="19" fillId="12" borderId="0" xfId="0" applyFont="1" applyFill="1" applyAlignment="1">
      <alignment horizontal="left"/>
    </xf>
    <xf numFmtId="0" fontId="18" fillId="12" borderId="274" xfId="0" applyFont="1" applyFill="1" applyBorder="1" applyAlignment="1">
      <alignment horizontal="center" vertical="center"/>
    </xf>
    <xf numFmtId="10" fontId="18" fillId="12" borderId="275" xfId="0" applyNumberFormat="1" applyFont="1" applyFill="1" applyBorder="1" applyProtection="1">
      <protection locked="0"/>
    </xf>
    <xf numFmtId="0" fontId="19" fillId="12" borderId="0" xfId="0" applyFont="1" applyFill="1" applyAlignment="1">
      <alignment horizontal="center"/>
    </xf>
    <xf numFmtId="173" fontId="19" fillId="12" borderId="0" xfId="0" applyNumberFormat="1" applyFont="1" applyFill="1" applyAlignment="1">
      <alignment horizontal="center"/>
    </xf>
    <xf numFmtId="174" fontId="19" fillId="12" borderId="0" xfId="12" applyFont="1" applyFill="1" applyAlignment="1">
      <alignment horizontal="center"/>
    </xf>
    <xf numFmtId="172" fontId="19" fillId="12" borderId="0" xfId="0" applyNumberFormat="1" applyFont="1" applyFill="1" applyAlignment="1">
      <alignment horizontal="center"/>
    </xf>
    <xf numFmtId="0" fontId="45" fillId="12" borderId="0" xfId="0" applyFont="1" applyFill="1"/>
    <xf numFmtId="1" fontId="19" fillId="12" borderId="0" xfId="0" applyNumberFormat="1" applyFont="1" applyFill="1" applyAlignment="1">
      <alignment horizontal="center"/>
    </xf>
    <xf numFmtId="0" fontId="18" fillId="12" borderId="292" xfId="0" applyFont="1" applyFill="1" applyBorder="1" applyAlignment="1">
      <alignment horizontal="center" vertical="center" wrapText="1"/>
    </xf>
    <xf numFmtId="0" fontId="18" fillId="12" borderId="40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/>
    </xf>
    <xf numFmtId="9" fontId="18" fillId="12" borderId="0" xfId="0" applyNumberFormat="1" applyFont="1" applyFill="1" applyBorder="1" applyAlignment="1">
      <alignment horizontal="center" vertical="center"/>
    </xf>
    <xf numFmtId="0" fontId="18" fillId="12" borderId="278" xfId="0" applyFont="1" applyFill="1" applyBorder="1" applyAlignment="1">
      <alignment horizontal="center"/>
    </xf>
    <xf numFmtId="171" fontId="19" fillId="12" borderId="278" xfId="0" applyNumberFormat="1" applyFont="1" applyFill="1" applyBorder="1" applyAlignment="1" applyProtection="1">
      <alignment horizontal="center"/>
      <protection locked="0"/>
    </xf>
    <xf numFmtId="171" fontId="19" fillId="12" borderId="251" xfId="0" applyNumberFormat="1" applyFont="1" applyFill="1" applyBorder="1" applyAlignment="1" applyProtection="1">
      <alignment horizontal="center"/>
      <protection locked="0"/>
    </xf>
    <xf numFmtId="171" fontId="19" fillId="12" borderId="277" xfId="0" applyNumberFormat="1" applyFont="1" applyFill="1" applyBorder="1" applyAlignment="1" applyProtection="1">
      <alignment horizontal="center"/>
      <protection locked="0"/>
    </xf>
    <xf numFmtId="2" fontId="19" fillId="12" borderId="0" xfId="0" applyNumberFormat="1" applyFont="1" applyFill="1" applyBorder="1" applyAlignment="1">
      <alignment horizontal="center" vertical="center"/>
    </xf>
    <xf numFmtId="171" fontId="19" fillId="12" borderId="298" xfId="0" applyNumberFormat="1" applyFont="1" applyFill="1" applyBorder="1" applyAlignment="1" applyProtection="1">
      <alignment horizontal="center"/>
      <protection locked="0"/>
    </xf>
    <xf numFmtId="171" fontId="19" fillId="12" borderId="148" xfId="0" applyNumberFormat="1" applyFont="1" applyFill="1" applyBorder="1" applyAlignment="1" applyProtection="1">
      <alignment horizontal="center"/>
      <protection locked="0"/>
    </xf>
    <xf numFmtId="171" fontId="19" fillId="12" borderId="306" xfId="0" applyNumberFormat="1" applyFont="1" applyFill="1" applyBorder="1" applyAlignment="1" applyProtection="1">
      <alignment horizontal="center"/>
      <protection locked="0"/>
    </xf>
    <xf numFmtId="0" fontId="18" fillId="12" borderId="150" xfId="0" applyFont="1" applyFill="1" applyBorder="1" applyAlignment="1">
      <alignment horizontal="center"/>
    </xf>
    <xf numFmtId="171" fontId="19" fillId="12" borderId="300" xfId="0" applyNumberFormat="1" applyFont="1" applyFill="1" applyBorder="1" applyAlignment="1" applyProtection="1">
      <alignment horizontal="center"/>
      <protection locked="0"/>
    </xf>
    <xf numFmtId="171" fontId="19" fillId="12" borderId="150" xfId="0" applyNumberFormat="1" applyFont="1" applyFill="1" applyBorder="1" applyAlignment="1" applyProtection="1">
      <alignment horizontal="center"/>
      <protection locked="0"/>
    </xf>
    <xf numFmtId="171" fontId="19" fillId="12" borderId="248" xfId="0" applyNumberFormat="1" applyFont="1" applyFill="1" applyBorder="1" applyAlignment="1" applyProtection="1">
      <alignment horizontal="center"/>
      <protection locked="0"/>
    </xf>
    <xf numFmtId="171" fontId="19" fillId="12" borderId="151" xfId="0" applyNumberFormat="1" applyFont="1" applyFill="1" applyBorder="1" applyAlignment="1" applyProtection="1">
      <alignment horizontal="center"/>
      <protection locked="0"/>
    </xf>
    <xf numFmtId="171" fontId="19" fillId="12" borderId="270" xfId="0" applyNumberFormat="1" applyFont="1" applyFill="1" applyBorder="1" applyAlignment="1" applyProtection="1">
      <alignment horizontal="center"/>
      <protection locked="0"/>
    </xf>
    <xf numFmtId="0" fontId="18" fillId="12" borderId="270" xfId="0" applyFont="1" applyFill="1" applyBorder="1" applyAlignment="1">
      <alignment horizontal="center"/>
    </xf>
    <xf numFmtId="171" fontId="19" fillId="12" borderId="307" xfId="0" applyNumberFormat="1" applyFont="1" applyFill="1" applyBorder="1" applyAlignment="1" applyProtection="1">
      <alignment horizontal="center"/>
      <protection locked="0"/>
    </xf>
    <xf numFmtId="190" fontId="0" fillId="12" borderId="0" xfId="0" applyNumberFormat="1" applyFont="1" applyFill="1"/>
    <xf numFmtId="169" fontId="18" fillId="12" borderId="271" xfId="0" applyNumberFormat="1" applyFont="1" applyFill="1" applyBorder="1" applyProtection="1">
      <protection locked="0"/>
    </xf>
    <xf numFmtId="0" fontId="19" fillId="12" borderId="0" xfId="0" applyFont="1" applyFill="1" applyBorder="1"/>
    <xf numFmtId="0" fontId="27" fillId="12" borderId="0" xfId="0" applyFont="1" applyFill="1" applyBorder="1"/>
    <xf numFmtId="0" fontId="27" fillId="12" borderId="0" xfId="0" applyFont="1" applyFill="1" applyBorder="1" applyAlignment="1">
      <alignment vertical="center"/>
    </xf>
    <xf numFmtId="169" fontId="27" fillId="12" borderId="0" xfId="0" applyNumberFormat="1" applyFont="1" applyFill="1" applyBorder="1"/>
    <xf numFmtId="174" fontId="19" fillId="12" borderId="0" xfId="12" applyFont="1" applyFill="1" applyBorder="1"/>
    <xf numFmtId="169" fontId="18" fillId="12" borderId="0" xfId="12" applyNumberFormat="1" applyFont="1" applyFill="1" applyBorder="1" applyAlignment="1">
      <alignment horizontal="center" vertical="center"/>
    </xf>
    <xf numFmtId="0" fontId="18" fillId="12" borderId="0" xfId="0" applyFont="1" applyFill="1" applyBorder="1"/>
    <xf numFmtId="9" fontId="19" fillId="12" borderId="0" xfId="16" applyFont="1" applyFill="1" applyBorder="1"/>
    <xf numFmtId="173" fontId="19" fillId="12" borderId="0" xfId="0" applyNumberFormat="1" applyFont="1" applyFill="1" applyBorder="1" applyAlignment="1">
      <alignment horizontal="center"/>
    </xf>
    <xf numFmtId="0" fontId="44" fillId="12" borderId="123" xfId="0" applyFont="1" applyFill="1" applyBorder="1" applyAlignment="1">
      <alignment horizontal="left"/>
    </xf>
    <xf numFmtId="0" fontId="44" fillId="12" borderId="119" xfId="0" applyFont="1" applyFill="1" applyBorder="1"/>
    <xf numFmtId="181" fontId="44" fillId="12" borderId="119" xfId="0" applyNumberFormat="1" applyFont="1" applyFill="1" applyBorder="1"/>
    <xf numFmtId="0" fontId="44" fillId="12" borderId="124" xfId="0" applyFont="1" applyFill="1" applyBorder="1"/>
    <xf numFmtId="1" fontId="44" fillId="12" borderId="119" xfId="0" applyNumberFormat="1" applyFont="1" applyFill="1" applyBorder="1"/>
    <xf numFmtId="190" fontId="44" fillId="12" borderId="119" xfId="0" applyNumberFormat="1" applyFont="1" applyFill="1" applyBorder="1"/>
    <xf numFmtId="171" fontId="28" fillId="12" borderId="0" xfId="0" applyNumberFormat="1" applyFont="1" applyFill="1" applyBorder="1"/>
    <xf numFmtId="0" fontId="18" fillId="11" borderId="0" xfId="0" applyFont="1" applyFill="1" applyAlignment="1" applyProtection="1">
      <alignment horizontal="center"/>
      <protection locked="0"/>
    </xf>
    <xf numFmtId="0" fontId="41" fillId="11" borderId="0" xfId="0" applyFont="1" applyFill="1"/>
    <xf numFmtId="171" fontId="28" fillId="26" borderId="33" xfId="0" applyNumberFormat="1" applyFont="1" applyFill="1" applyBorder="1" applyAlignment="1" applyProtection="1">
      <alignment horizontal="center"/>
      <protection locked="0"/>
    </xf>
    <xf numFmtId="171" fontId="28" fillId="26" borderId="40" xfId="0" applyNumberFormat="1" applyFont="1" applyFill="1" applyBorder="1" applyAlignment="1" applyProtection="1">
      <alignment horizontal="center"/>
      <protection locked="0"/>
    </xf>
    <xf numFmtId="171" fontId="28" fillId="26" borderId="39" xfId="0" applyNumberFormat="1" applyFont="1" applyFill="1" applyBorder="1" applyAlignment="1" applyProtection="1">
      <alignment horizontal="center"/>
      <protection locked="0"/>
    </xf>
    <xf numFmtId="171" fontId="28" fillId="12" borderId="0" xfId="0" applyNumberFormat="1" applyFont="1" applyFill="1" applyBorder="1" applyAlignment="1">
      <alignment horizontal="center" vertical="center"/>
    </xf>
    <xf numFmtId="171" fontId="19" fillId="27" borderId="126" xfId="0" applyNumberFormat="1" applyFont="1" applyFill="1" applyBorder="1" applyAlignment="1" applyProtection="1">
      <alignment horizontal="center"/>
      <protection locked="0"/>
    </xf>
    <xf numFmtId="171" fontId="19" fillId="27" borderId="127" xfId="0" applyNumberFormat="1" applyFont="1" applyFill="1" applyBorder="1" applyAlignment="1" applyProtection="1">
      <alignment horizontal="center"/>
      <protection locked="0"/>
    </xf>
    <xf numFmtId="171" fontId="19" fillId="28" borderId="127" xfId="0" applyNumberFormat="1" applyFont="1" applyFill="1" applyBorder="1" applyAlignment="1" applyProtection="1">
      <alignment horizontal="center"/>
      <protection locked="0"/>
    </xf>
    <xf numFmtId="171" fontId="18" fillId="16" borderId="258" xfId="0" applyNumberFormat="1" applyFont="1" applyFill="1" applyBorder="1" applyAlignment="1" applyProtection="1">
      <alignment horizontal="center"/>
      <protection locked="0"/>
    </xf>
    <xf numFmtId="171" fontId="18" fillId="16" borderId="270" xfId="0" applyNumberFormat="1" applyFont="1" applyFill="1" applyBorder="1" applyAlignment="1" applyProtection="1">
      <alignment horizontal="center"/>
      <protection locked="0"/>
    </xf>
    <xf numFmtId="171" fontId="27" fillId="16" borderId="255" xfId="0" applyNumberFormat="1" applyFont="1" applyFill="1" applyBorder="1" applyAlignment="1" applyProtection="1">
      <alignment horizontal="center"/>
      <protection locked="0"/>
    </xf>
    <xf numFmtId="174" fontId="27" fillId="16" borderId="258" xfId="0" applyNumberFormat="1" applyFont="1" applyFill="1" applyBorder="1" applyProtection="1">
      <protection locked="0"/>
    </xf>
    <xf numFmtId="174" fontId="27" fillId="29" borderId="255" xfId="0" applyNumberFormat="1" applyFont="1" applyFill="1" applyBorder="1" applyProtection="1">
      <protection locked="0"/>
    </xf>
    <xf numFmtId="171" fontId="27" fillId="29" borderId="255" xfId="0" applyNumberFormat="1" applyFont="1" applyFill="1" applyBorder="1" applyAlignment="1" applyProtection="1">
      <alignment horizontal="center"/>
      <protection locked="0"/>
    </xf>
    <xf numFmtId="171" fontId="27" fillId="0" borderId="8" xfId="0" applyNumberFormat="1" applyFont="1" applyBorder="1" applyAlignment="1" applyProtection="1">
      <alignment horizontal="center"/>
      <protection locked="0"/>
    </xf>
    <xf numFmtId="183" fontId="31" fillId="13" borderId="127" xfId="0" applyNumberFormat="1" applyFont="1" applyFill="1" applyBorder="1" applyAlignment="1" applyProtection="1">
      <alignment horizontal="center"/>
      <protection locked="0"/>
    </xf>
    <xf numFmtId="183" fontId="31" fillId="13" borderId="126" xfId="0" applyNumberFormat="1" applyFont="1" applyFill="1" applyBorder="1" applyAlignment="1" applyProtection="1">
      <alignment horizontal="center"/>
      <protection locked="0"/>
    </xf>
    <xf numFmtId="183" fontId="31" fillId="11" borderId="0" xfId="0" applyNumberFormat="1" applyFont="1" applyFill="1"/>
    <xf numFmtId="183" fontId="27" fillId="11" borderId="0" xfId="0" applyNumberFormat="1" applyFont="1" applyFill="1"/>
    <xf numFmtId="191" fontId="15" fillId="0" borderId="14" xfId="13" applyNumberFormat="1" applyBorder="1" applyAlignment="1" applyProtection="1">
      <alignment horizontal="center" vertical="center"/>
      <protection locked="0"/>
    </xf>
    <xf numFmtId="191" fontId="15" fillId="0" borderId="14" xfId="13" applyNumberFormat="1" applyBorder="1" applyAlignment="1">
      <alignment horizontal="center" vertical="center"/>
    </xf>
    <xf numFmtId="171" fontId="28" fillId="12" borderId="0" xfId="0" applyNumberFormat="1" applyFont="1" applyFill="1" applyBorder="1" applyAlignment="1">
      <alignment horizontal="center"/>
    </xf>
    <xf numFmtId="171" fontId="28" fillId="12" borderId="0" xfId="0" applyNumberFormat="1" applyFont="1" applyFill="1"/>
    <xf numFmtId="169" fontId="27" fillId="12" borderId="0" xfId="0" applyNumberFormat="1" applyFont="1" applyFill="1"/>
    <xf numFmtId="169" fontId="28" fillId="12" borderId="0" xfId="0" applyNumberFormat="1" applyFont="1" applyFill="1"/>
    <xf numFmtId="0" fontId="0" fillId="0" borderId="0" xfId="0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83" fontId="0" fillId="0" borderId="0" xfId="0" applyNumberFormat="1" applyFill="1" applyAlignment="1" applyProtection="1">
      <alignment horizontal="center"/>
    </xf>
    <xf numFmtId="183" fontId="0" fillId="0" borderId="0" xfId="0" applyNumberFormat="1" applyFill="1" applyProtection="1"/>
    <xf numFmtId="10" fontId="0" fillId="0" borderId="0" xfId="0" applyNumberFormat="1" applyFill="1" applyAlignment="1" applyProtection="1">
      <alignment horizontal="center"/>
    </xf>
    <xf numFmtId="10" fontId="0" fillId="0" borderId="0" xfId="0" applyNumberFormat="1" applyFill="1" applyAlignment="1" applyProtection="1">
      <alignment horizontal="center" vertical="center"/>
    </xf>
    <xf numFmtId="9" fontId="15" fillId="0" borderId="0" xfId="16" applyFill="1" applyAlignment="1" applyProtection="1">
      <alignment horizontal="center" vertical="center"/>
    </xf>
    <xf numFmtId="9" fontId="15" fillId="0" borderId="0" xfId="16" applyFill="1" applyAlignment="1" applyProtection="1">
      <alignment horizontal="center"/>
    </xf>
    <xf numFmtId="9" fontId="0" fillId="0" borderId="0" xfId="0" applyNumberFormat="1" applyFill="1" applyAlignment="1" applyProtection="1">
      <alignment horizontal="center"/>
    </xf>
    <xf numFmtId="0" fontId="12" fillId="0" borderId="0" xfId="0" applyFont="1" applyAlignment="1">
      <alignment horizontal="center"/>
    </xf>
    <xf numFmtId="0" fontId="12" fillId="0" borderId="157" xfId="0" applyFont="1" applyBorder="1" applyAlignment="1">
      <alignment horizontal="center"/>
    </xf>
    <xf numFmtId="0" fontId="0" fillId="20" borderId="12" xfId="0" applyFill="1" applyBorder="1" applyAlignment="1" applyProtection="1">
      <alignment horizontal="center"/>
      <protection locked="0"/>
    </xf>
    <xf numFmtId="0" fontId="0" fillId="14" borderId="8" xfId="0" applyFill="1" applyBorder="1" applyAlignment="1">
      <alignment horizontal="center"/>
    </xf>
    <xf numFmtId="0" fontId="0" fillId="16" borderId="0" xfId="0" applyFill="1" applyBorder="1" applyAlignment="1" applyProtection="1">
      <alignment horizontal="center"/>
      <protection locked="0"/>
    </xf>
    <xf numFmtId="0" fontId="13" fillId="23" borderId="160" xfId="0" applyFont="1" applyFill="1" applyBorder="1" applyAlignment="1">
      <alignment horizontal="center"/>
    </xf>
    <xf numFmtId="0" fontId="13" fillId="23" borderId="109" xfId="0" applyFont="1" applyFill="1" applyBorder="1" applyAlignment="1">
      <alignment horizontal="center"/>
    </xf>
    <xf numFmtId="0" fontId="13" fillId="23" borderId="158" xfId="0" applyFont="1" applyFill="1" applyBorder="1" applyAlignment="1">
      <alignment horizontal="center"/>
    </xf>
    <xf numFmtId="0" fontId="13" fillId="23" borderId="110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4" fillId="23" borderId="171" xfId="0" applyFont="1" applyFill="1" applyBorder="1" applyAlignment="1">
      <alignment horizontal="center" vertical="center"/>
    </xf>
    <xf numFmtId="0" fontId="14" fillId="23" borderId="122" xfId="0" applyFont="1" applyFill="1" applyBorder="1" applyAlignment="1">
      <alignment horizontal="center" vertical="center"/>
    </xf>
    <xf numFmtId="0" fontId="13" fillId="23" borderId="171" xfId="0" applyFont="1" applyFill="1" applyBorder="1" applyAlignment="1">
      <alignment horizontal="center" vertical="center"/>
    </xf>
    <xf numFmtId="0" fontId="13" fillId="23" borderId="122" xfId="0" applyFont="1" applyFill="1" applyBorder="1" applyAlignment="1">
      <alignment horizontal="center" vertical="center"/>
    </xf>
    <xf numFmtId="184" fontId="0" fillId="0" borderId="8" xfId="0" applyNumberFormat="1" applyBorder="1" applyAlignment="1">
      <alignment horizontal="center"/>
    </xf>
    <xf numFmtId="184" fontId="0" fillId="0" borderId="73" xfId="0" applyNumberFormat="1" applyBorder="1" applyAlignment="1">
      <alignment horizontal="center"/>
    </xf>
    <xf numFmtId="183" fontId="19" fillId="0" borderId="15" xfId="0" applyNumberFormat="1" applyFont="1" applyBorder="1" applyAlignment="1">
      <alignment horizontal="center"/>
    </xf>
    <xf numFmtId="183" fontId="19" fillId="0" borderId="52" xfId="0" applyNumberFormat="1" applyFont="1" applyBorder="1" applyAlignment="1">
      <alignment horizontal="center"/>
    </xf>
    <xf numFmtId="0" fontId="0" fillId="15" borderId="91" xfId="0" applyFill="1" applyBorder="1" applyAlignment="1">
      <alignment horizontal="center" vertical="center" wrapText="1"/>
    </xf>
    <xf numFmtId="0" fontId="0" fillId="15" borderId="73" xfId="0" applyFill="1" applyBorder="1" applyAlignment="1">
      <alignment horizontal="center" vertical="center" wrapText="1"/>
    </xf>
    <xf numFmtId="9" fontId="21" fillId="0" borderId="72" xfId="0" applyNumberFormat="1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74" xfId="0" applyFont="1" applyBorder="1" applyAlignment="1">
      <alignment horizontal="center" vertical="center"/>
    </xf>
    <xf numFmtId="0" fontId="19" fillId="0" borderId="191" xfId="0" applyNumberFormat="1" applyFont="1" applyBorder="1" applyAlignment="1">
      <alignment horizontal="center" vertical="center" wrapText="1"/>
    </xf>
    <xf numFmtId="0" fontId="19" fillId="0" borderId="98" xfId="0" applyNumberFormat="1" applyFont="1" applyBorder="1" applyAlignment="1">
      <alignment horizontal="center" vertical="center" wrapText="1"/>
    </xf>
    <xf numFmtId="0" fontId="19" fillId="0" borderId="198" xfId="0" applyNumberFormat="1" applyFont="1" applyBorder="1" applyAlignment="1">
      <alignment horizontal="center" vertical="center" wrapText="1"/>
    </xf>
    <xf numFmtId="184" fontId="0" fillId="0" borderId="15" xfId="0" applyNumberFormat="1" applyBorder="1" applyAlignment="1">
      <alignment horizontal="center"/>
    </xf>
    <xf numFmtId="184" fontId="0" fillId="0" borderId="52" xfId="0" applyNumberFormat="1" applyBorder="1" applyAlignment="1">
      <alignment horizontal="center"/>
    </xf>
    <xf numFmtId="184" fontId="0" fillId="0" borderId="36" xfId="0" applyNumberFormat="1" applyBorder="1" applyAlignment="1">
      <alignment horizontal="center"/>
    </xf>
    <xf numFmtId="184" fontId="0" fillId="0" borderId="70" xfId="0" applyNumberFormat="1" applyBorder="1" applyAlignment="1">
      <alignment horizontal="center"/>
    </xf>
    <xf numFmtId="0" fontId="0" fillId="15" borderId="55" xfId="0" applyFill="1" applyBorder="1" applyAlignment="1">
      <alignment horizontal="center" vertical="center"/>
    </xf>
    <xf numFmtId="0" fontId="0" fillId="15" borderId="57" xfId="0" applyFill="1" applyBorder="1" applyAlignment="1">
      <alignment horizontal="center" vertical="center"/>
    </xf>
    <xf numFmtId="0" fontId="0" fillId="15" borderId="60" xfId="0" applyFill="1" applyBorder="1" applyAlignment="1">
      <alignment horizontal="center" vertical="center" wrapText="1"/>
    </xf>
    <xf numFmtId="0" fontId="0" fillId="15" borderId="199" xfId="0" applyFill="1" applyBorder="1" applyAlignment="1">
      <alignment horizontal="center" vertical="center" wrapText="1"/>
    </xf>
    <xf numFmtId="0" fontId="0" fillId="15" borderId="61" xfId="0" applyFill="1" applyBorder="1" applyAlignment="1">
      <alignment horizontal="center" vertical="center" wrapText="1"/>
    </xf>
    <xf numFmtId="0" fontId="0" fillId="15" borderId="56" xfId="0" applyFill="1" applyBorder="1" applyAlignment="1">
      <alignment horizontal="center" vertical="center" wrapText="1"/>
    </xf>
    <xf numFmtId="0" fontId="0" fillId="15" borderId="63" xfId="0" applyFill="1" applyBorder="1" applyAlignment="1">
      <alignment horizontal="center" wrapText="1"/>
    </xf>
    <xf numFmtId="0" fontId="0" fillId="15" borderId="15" xfId="0" applyFill="1" applyBorder="1" applyAlignment="1">
      <alignment horizontal="center" wrapText="1"/>
    </xf>
    <xf numFmtId="0" fontId="0" fillId="15" borderId="54" xfId="0" applyFill="1" applyBorder="1" applyAlignment="1">
      <alignment horizontal="center"/>
    </xf>
    <xf numFmtId="0" fontId="0" fillId="15" borderId="62" xfId="0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5" borderId="73" xfId="0" applyFill="1" applyBorder="1" applyAlignment="1">
      <alignment horizontal="center" wrapText="1"/>
    </xf>
    <xf numFmtId="183" fontId="15" fillId="0" borderId="8" xfId="13" applyNumberFormat="1" applyBorder="1" applyAlignment="1">
      <alignment horizontal="center"/>
    </xf>
    <xf numFmtId="0" fontId="0" fillId="0" borderId="0" xfId="0" applyBorder="1" applyAlignment="1">
      <alignment horizontal="right" vertical="center"/>
    </xf>
    <xf numFmtId="184" fontId="0" fillId="0" borderId="38" xfId="0" applyNumberFormat="1" applyBorder="1" applyAlignment="1">
      <alignment horizontal="center"/>
    </xf>
    <xf numFmtId="184" fontId="0" fillId="0" borderId="168" xfId="0" applyNumberFormat="1" applyBorder="1" applyAlignment="1">
      <alignment horizontal="center"/>
    </xf>
    <xf numFmtId="183" fontId="18" fillId="0" borderId="64" xfId="0" applyNumberFormat="1" applyFont="1" applyBorder="1" applyAlignment="1">
      <alignment horizontal="center"/>
    </xf>
    <xf numFmtId="0" fontId="0" fillId="15" borderId="63" xfId="0" applyFill="1" applyBorder="1" applyAlignment="1">
      <alignment horizontal="center" vertical="center" wrapText="1"/>
    </xf>
    <xf numFmtId="0" fontId="0" fillId="15" borderId="15" xfId="0" applyFill="1" applyBorder="1" applyAlignment="1">
      <alignment horizontal="center" vertical="center" wrapText="1"/>
    </xf>
    <xf numFmtId="0" fontId="0" fillId="15" borderId="93" xfId="0" applyFill="1" applyBorder="1" applyAlignment="1">
      <alignment horizontal="left"/>
    </xf>
    <xf numFmtId="0" fontId="0" fillId="15" borderId="8" xfId="0" applyFill="1" applyBorder="1" applyAlignment="1">
      <alignment horizontal="left"/>
    </xf>
    <xf numFmtId="0" fontId="0" fillId="15" borderId="23" xfId="0" applyFill="1" applyBorder="1" applyAlignment="1">
      <alignment horizontal="center" wrapText="1"/>
    </xf>
    <xf numFmtId="0" fontId="0" fillId="15" borderId="8" xfId="0" applyFill="1" applyBorder="1" applyAlignment="1">
      <alignment horizontal="center" wrapText="1"/>
    </xf>
    <xf numFmtId="0" fontId="0" fillId="15" borderId="8" xfId="0" applyFill="1" applyBorder="1" applyAlignment="1">
      <alignment horizontal="center"/>
    </xf>
    <xf numFmtId="0" fontId="0" fillId="15" borderId="23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5" borderId="63" xfId="0" applyFill="1" applyBorder="1" applyAlignment="1">
      <alignment horizontal="center" vertical="center"/>
    </xf>
    <xf numFmtId="0" fontId="0" fillId="15" borderId="15" xfId="0" applyFill="1" applyBorder="1" applyAlignment="1">
      <alignment horizontal="center" vertical="center"/>
    </xf>
    <xf numFmtId="0" fontId="0" fillId="15" borderId="51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9" fontId="21" fillId="0" borderId="36" xfId="0" applyNumberFormat="1" applyFont="1" applyBorder="1" applyAlignment="1">
      <alignment horizontal="center" vertical="center"/>
    </xf>
    <xf numFmtId="9" fontId="21" fillId="0" borderId="70" xfId="0" applyNumberFormat="1" applyFont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0" fillId="15" borderId="49" xfId="0" applyFill="1" applyBorder="1" applyAlignment="1">
      <alignment horizontal="center" vertical="center"/>
    </xf>
    <xf numFmtId="10" fontId="21" fillId="0" borderId="208" xfId="0" applyNumberFormat="1" applyFont="1" applyBorder="1" applyAlignment="1">
      <alignment horizontal="center" vertical="center"/>
    </xf>
    <xf numFmtId="10" fontId="21" fillId="0" borderId="36" xfId="0" applyNumberFormat="1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15" borderId="8" xfId="0" applyFill="1" applyBorder="1" applyAlignment="1">
      <alignment horizontal="center" vertical="center" wrapText="1"/>
    </xf>
    <xf numFmtId="184" fontId="0" fillId="0" borderId="38" xfId="0" applyNumberFormat="1" applyBorder="1" applyAlignment="1">
      <alignment horizontal="center" vertical="center"/>
    </xf>
    <xf numFmtId="184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15" borderId="187" xfId="0" applyFill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0" fillId="15" borderId="36" xfId="0" applyFill="1" applyBorder="1" applyAlignment="1">
      <alignment horizontal="center"/>
    </xf>
    <xf numFmtId="0" fontId="0" fillId="15" borderId="188" xfId="0" applyFill="1" applyBorder="1" applyAlignment="1">
      <alignment horizontal="center" vertical="center"/>
    </xf>
    <xf numFmtId="0" fontId="0" fillId="15" borderId="54" xfId="0" applyFill="1" applyBorder="1" applyAlignment="1">
      <alignment horizontal="center" vertical="center"/>
    </xf>
    <xf numFmtId="0" fontId="0" fillId="15" borderId="102" xfId="0" applyFill="1" applyBorder="1" applyAlignment="1">
      <alignment horizontal="center" vertical="center"/>
    </xf>
    <xf numFmtId="0" fontId="0" fillId="15" borderId="196" xfId="0" applyFill="1" applyBorder="1" applyAlignment="1">
      <alignment horizontal="center" vertical="center"/>
    </xf>
    <xf numFmtId="0" fontId="0" fillId="15" borderId="96" xfId="0" applyFill="1" applyBorder="1" applyAlignment="1">
      <alignment horizontal="center" vertical="center"/>
    </xf>
    <xf numFmtId="0" fontId="0" fillId="0" borderId="0" xfId="0" applyFont="1" applyFill="1" applyAlignment="1">
      <alignment horizontal="left" wrapText="1"/>
    </xf>
    <xf numFmtId="0" fontId="0" fillId="22" borderId="0" xfId="0" applyFill="1" applyAlignment="1">
      <alignment horizontal="center" vertical="center" wrapText="1"/>
    </xf>
    <xf numFmtId="0" fontId="21" fillId="15" borderId="15" xfId="0" applyFont="1" applyFill="1" applyBorder="1" applyAlignment="1">
      <alignment horizontal="center" vertical="center" wrapText="1"/>
    </xf>
    <xf numFmtId="0" fontId="21" fillId="22" borderId="79" xfId="0" applyFont="1" applyFill="1" applyBorder="1" applyAlignment="1">
      <alignment horizontal="center" vertical="center" wrapText="1"/>
    </xf>
    <xf numFmtId="0" fontId="21" fillId="22" borderId="0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left" vertical="center"/>
    </xf>
    <xf numFmtId="0" fontId="0" fillId="0" borderId="93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100" xfId="0" applyFont="1" applyBorder="1" applyAlignment="1">
      <alignment horizontal="center"/>
    </xf>
    <xf numFmtId="0" fontId="13" fillId="0" borderId="73" xfId="0" applyFont="1" applyBorder="1" applyAlignment="1">
      <alignment horizontal="center"/>
    </xf>
    <xf numFmtId="0" fontId="0" fillId="0" borderId="134" xfId="0" applyBorder="1" applyAlignment="1">
      <alignment horizontal="center" wrapText="1"/>
    </xf>
    <xf numFmtId="0" fontId="0" fillId="0" borderId="87" xfId="0" applyBorder="1" applyAlignment="1">
      <alignment horizontal="center" wrapText="1"/>
    </xf>
    <xf numFmtId="165" fontId="0" fillId="0" borderId="15" xfId="0" applyNumberFormat="1" applyBorder="1" applyAlignment="1">
      <alignment horizontal="center" vertical="center"/>
    </xf>
    <xf numFmtId="165" fontId="0" fillId="0" borderId="184" xfId="0" applyNumberFormat="1" applyBorder="1" applyAlignment="1">
      <alignment horizontal="center" vertical="center"/>
    </xf>
    <xf numFmtId="0" fontId="0" fillId="15" borderId="91" xfId="0" applyFill="1" applyBorder="1" applyAlignment="1">
      <alignment horizontal="center" wrapText="1"/>
    </xf>
    <xf numFmtId="0" fontId="18" fillId="0" borderId="186" xfId="0" applyFont="1" applyBorder="1" applyAlignment="1">
      <alignment horizontal="center"/>
    </xf>
    <xf numFmtId="0" fontId="18" fillId="0" borderId="124" xfId="0" applyFont="1" applyBorder="1" applyAlignment="1">
      <alignment horizontal="center"/>
    </xf>
    <xf numFmtId="0" fontId="0" fillId="9" borderId="194" xfId="0" applyFill="1" applyBorder="1" applyAlignment="1">
      <alignment horizontal="center"/>
    </xf>
    <xf numFmtId="0" fontId="0" fillId="9" borderId="195" xfId="0" applyFill="1" applyBorder="1" applyAlignment="1">
      <alignment horizontal="center"/>
    </xf>
    <xf numFmtId="165" fontId="18" fillId="0" borderId="73" xfId="0" applyNumberFormat="1" applyFont="1" applyBorder="1" applyAlignment="1">
      <alignment horizontal="center"/>
    </xf>
    <xf numFmtId="165" fontId="18" fillId="0" borderId="74" xfId="0" applyNumberFormat="1" applyFont="1" applyBorder="1" applyAlignment="1">
      <alignment horizontal="center"/>
    </xf>
    <xf numFmtId="171" fontId="19" fillId="0" borderId="87" xfId="0" applyNumberFormat="1" applyFont="1" applyBorder="1" applyAlignment="1">
      <alignment horizontal="center" vertical="center"/>
    </xf>
    <xf numFmtId="0" fontId="0" fillId="15" borderId="180" xfId="0" applyFill="1" applyBorder="1" applyAlignment="1">
      <alignment horizontal="center"/>
    </xf>
    <xf numFmtId="0" fontId="0" fillId="15" borderId="180" xfId="0" applyFill="1" applyBorder="1" applyAlignment="1">
      <alignment horizontal="center" wrapText="1"/>
    </xf>
    <xf numFmtId="0" fontId="0" fillId="15" borderId="182" xfId="0" applyFill="1" applyBorder="1" applyAlignment="1">
      <alignment horizontal="center"/>
    </xf>
    <xf numFmtId="0" fontId="0" fillId="15" borderId="52" xfId="0" applyFill="1" applyBorder="1" applyAlignment="1">
      <alignment horizontal="center"/>
    </xf>
    <xf numFmtId="165" fontId="18" fillId="0" borderId="73" xfId="0" applyNumberFormat="1" applyFont="1" applyBorder="1" applyAlignment="1">
      <alignment horizontal="center" vertical="center"/>
    </xf>
    <xf numFmtId="1" fontId="0" fillId="0" borderId="8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0" borderId="73" xfId="0" applyNumberFormat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1" fontId="19" fillId="0" borderId="8" xfId="0" applyNumberFormat="1" applyFont="1" applyBorder="1" applyAlignment="1">
      <alignment horizontal="center" vertical="center"/>
    </xf>
    <xf numFmtId="0" fontId="0" fillId="15" borderId="92" xfId="0" applyFill="1" applyBorder="1" applyAlignment="1">
      <alignment horizontal="center" vertical="center" wrapText="1"/>
    </xf>
    <xf numFmtId="0" fontId="0" fillId="15" borderId="72" xfId="0" applyFill="1" applyBorder="1" applyAlignment="1">
      <alignment horizontal="center" vertical="center" wrapText="1"/>
    </xf>
    <xf numFmtId="0" fontId="0" fillId="15" borderId="74" xfId="0" applyFill="1" applyBorder="1" applyAlignment="1">
      <alignment horizontal="center" vertical="center" wrapText="1"/>
    </xf>
    <xf numFmtId="171" fontId="18" fillId="0" borderId="87" xfId="0" applyNumberFormat="1" applyFont="1" applyBorder="1" applyAlignment="1">
      <alignment horizontal="center"/>
    </xf>
    <xf numFmtId="171" fontId="18" fillId="0" borderId="135" xfId="0" applyNumberFormat="1" applyFont="1" applyBorder="1" applyAlignment="1">
      <alignment horizontal="center"/>
    </xf>
    <xf numFmtId="171" fontId="18" fillId="0" borderId="8" xfId="0" applyNumberFormat="1" applyFont="1" applyBorder="1" applyAlignment="1">
      <alignment horizontal="center"/>
    </xf>
    <xf numFmtId="171" fontId="18" fillId="0" borderId="72" xfId="0" applyNumberFormat="1" applyFont="1" applyBorder="1" applyAlignment="1">
      <alignment horizontal="center"/>
    </xf>
    <xf numFmtId="165" fontId="18" fillId="0" borderId="87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0" fontId="0" fillId="15" borderId="91" xfId="0" applyFill="1" applyBorder="1" applyAlignment="1">
      <alignment horizontal="center" vertical="center"/>
    </xf>
    <xf numFmtId="0" fontId="0" fillId="15" borderId="73" xfId="0" applyFill="1" applyBorder="1" applyAlignment="1">
      <alignment horizontal="center" vertical="center"/>
    </xf>
    <xf numFmtId="184" fontId="0" fillId="0" borderId="87" xfId="0" applyNumberFormat="1" applyBorder="1" applyAlignment="1">
      <alignment horizontal="center" vertical="center"/>
    </xf>
    <xf numFmtId="184" fontId="0" fillId="0" borderId="135" xfId="0" applyNumberFormat="1" applyBorder="1" applyAlignment="1">
      <alignment horizontal="center" vertical="center"/>
    </xf>
    <xf numFmtId="0" fontId="0" fillId="15" borderId="180" xfId="0" applyFill="1" applyBorder="1" applyAlignment="1">
      <alignment horizontal="center" vertical="center" wrapText="1"/>
    </xf>
    <xf numFmtId="0" fontId="19" fillId="0" borderId="42" xfId="0" applyNumberFormat="1" applyFont="1" applyBorder="1" applyAlignment="1">
      <alignment horizontal="center" vertical="center"/>
    </xf>
    <xf numFmtId="0" fontId="19" fillId="0" borderId="16" xfId="0" applyNumberFormat="1" applyFont="1" applyBorder="1" applyAlignment="1">
      <alignment horizontal="center" vertical="center"/>
    </xf>
    <xf numFmtId="0" fontId="21" fillId="15" borderId="184" xfId="0" applyFont="1" applyFill="1" applyBorder="1" applyAlignment="1">
      <alignment horizontal="center" vertical="center" wrapText="1"/>
    </xf>
    <xf numFmtId="0" fontId="0" fillId="15" borderId="99" xfId="0" applyFill="1" applyBorder="1" applyAlignment="1">
      <alignment horizontal="center" vertical="center"/>
    </xf>
    <xf numFmtId="0" fontId="0" fillId="15" borderId="93" xfId="0" applyFill="1" applyBorder="1" applyAlignment="1">
      <alignment horizontal="center" vertical="center"/>
    </xf>
    <xf numFmtId="0" fontId="0" fillId="15" borderId="100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172" fontId="0" fillId="0" borderId="8" xfId="0" applyNumberFormat="1" applyBorder="1" applyAlignment="1">
      <alignment horizontal="center"/>
    </xf>
    <xf numFmtId="172" fontId="0" fillId="0" borderId="87" xfId="0" applyNumberFormat="1" applyBorder="1" applyAlignment="1">
      <alignment horizontal="center"/>
    </xf>
    <xf numFmtId="165" fontId="15" fillId="0" borderId="15" xfId="0" applyNumberFormat="1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0" fontId="0" fillId="15" borderId="172" xfId="0" applyFill="1" applyBorder="1" applyAlignment="1">
      <alignment horizontal="center"/>
    </xf>
    <xf numFmtId="0" fontId="0" fillId="15" borderId="173" xfId="0" applyFill="1" applyBorder="1" applyAlignment="1">
      <alignment horizontal="center"/>
    </xf>
    <xf numFmtId="0" fontId="0" fillId="15" borderId="174" xfId="0" applyFill="1" applyBorder="1" applyAlignment="1">
      <alignment horizontal="center"/>
    </xf>
    <xf numFmtId="0" fontId="18" fillId="0" borderId="183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85" xfId="0" applyBorder="1" applyAlignment="1">
      <alignment horizontal="center"/>
    </xf>
    <xf numFmtId="0" fontId="18" fillId="0" borderId="186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/>
    </xf>
    <xf numFmtId="0" fontId="18" fillId="0" borderId="193" xfId="0" applyFont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0" fillId="15" borderId="91" xfId="0" applyFill="1" applyBorder="1" applyAlignment="1">
      <alignment horizontal="left" vertical="center"/>
    </xf>
    <xf numFmtId="0" fontId="0" fillId="15" borderId="99" xfId="0" applyFill="1" applyBorder="1" applyAlignment="1">
      <alignment horizontal="left"/>
    </xf>
    <xf numFmtId="0" fontId="0" fillId="15" borderId="91" xfId="0" applyFill="1" applyBorder="1" applyAlignment="1">
      <alignment horizontal="left"/>
    </xf>
    <xf numFmtId="0" fontId="0" fillId="15" borderId="100" xfId="0" applyFill="1" applyBorder="1" applyAlignment="1">
      <alignment horizontal="left"/>
    </xf>
    <xf numFmtId="0" fontId="0" fillId="15" borderId="73" xfId="0" applyFill="1" applyBorder="1" applyAlignment="1">
      <alignment horizontal="left"/>
    </xf>
    <xf numFmtId="0" fontId="0" fillId="15" borderId="166" xfId="0" applyFill="1" applyBorder="1" applyAlignment="1">
      <alignment horizontal="center"/>
    </xf>
    <xf numFmtId="0" fontId="0" fillId="15" borderId="16" xfId="0" applyFill="1" applyBorder="1" applyAlignment="1">
      <alignment horizontal="center"/>
    </xf>
    <xf numFmtId="0" fontId="0" fillId="15" borderId="63" xfId="0" applyFill="1" applyBorder="1" applyAlignment="1">
      <alignment horizontal="center"/>
    </xf>
    <xf numFmtId="0" fontId="0" fillId="15" borderId="51" xfId="0" applyFill="1" applyBorder="1" applyAlignment="1">
      <alignment horizontal="center"/>
    </xf>
    <xf numFmtId="165" fontId="19" fillId="0" borderId="73" xfId="0" applyNumberFormat="1" applyFont="1" applyBorder="1" applyAlignment="1">
      <alignment horizontal="center" vertical="center"/>
    </xf>
    <xf numFmtId="0" fontId="0" fillId="15" borderId="178" xfId="0" applyFill="1" applyBorder="1" applyAlignment="1">
      <alignment horizontal="center" vertical="center"/>
    </xf>
    <xf numFmtId="0" fontId="0" fillId="15" borderId="44" xfId="0" applyFill="1" applyBorder="1" applyAlignment="1">
      <alignment horizontal="center" vertical="center"/>
    </xf>
    <xf numFmtId="0" fontId="0" fillId="15" borderId="47" xfId="0" applyFill="1" applyBorder="1" applyAlignment="1">
      <alignment horizontal="center" vertical="center"/>
    </xf>
    <xf numFmtId="0" fontId="0" fillId="15" borderId="179" xfId="0" applyFill="1" applyBorder="1" applyAlignment="1">
      <alignment horizontal="center"/>
    </xf>
    <xf numFmtId="0" fontId="0" fillId="15" borderId="49" xfId="0" applyFill="1" applyBorder="1" applyAlignment="1">
      <alignment horizontal="center"/>
    </xf>
    <xf numFmtId="172" fontId="0" fillId="0" borderId="73" xfId="0" applyNumberFormat="1" applyBorder="1" applyAlignment="1">
      <alignment horizontal="center"/>
    </xf>
    <xf numFmtId="184" fontId="0" fillId="0" borderId="8" xfId="0" applyNumberFormat="1" applyBorder="1" applyAlignment="1">
      <alignment horizontal="center" vertical="center"/>
    </xf>
    <xf numFmtId="184" fontId="0" fillId="0" borderId="72" xfId="0" applyNumberFormat="1" applyBorder="1" applyAlignment="1">
      <alignment horizontal="center" vertical="center"/>
    </xf>
    <xf numFmtId="184" fontId="0" fillId="0" borderId="73" xfId="0" applyNumberFormat="1" applyBorder="1" applyAlignment="1">
      <alignment horizontal="center" vertical="center"/>
    </xf>
    <xf numFmtId="184" fontId="0" fillId="0" borderId="74" xfId="0" applyNumberFormat="1" applyBorder="1" applyAlignment="1">
      <alignment horizontal="center" vertical="center"/>
    </xf>
    <xf numFmtId="0" fontId="0" fillId="15" borderId="132" xfId="0" applyFill="1" applyBorder="1" applyAlignment="1">
      <alignment horizontal="left"/>
    </xf>
    <xf numFmtId="0" fontId="0" fillId="15" borderId="133" xfId="0" applyFill="1" applyBorder="1" applyAlignment="1">
      <alignment horizontal="left"/>
    </xf>
    <xf numFmtId="0" fontId="18" fillId="0" borderId="155" xfId="0" applyFont="1" applyBorder="1" applyAlignment="1">
      <alignment horizontal="center"/>
    </xf>
    <xf numFmtId="0" fontId="0" fillId="0" borderId="132" xfId="0" applyFill="1" applyBorder="1" applyAlignment="1">
      <alignment horizontal="center" vertical="center"/>
    </xf>
    <xf numFmtId="0" fontId="0" fillId="0" borderId="133" xfId="0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15" borderId="68" xfId="0" applyFill="1" applyBorder="1" applyAlignment="1">
      <alignment horizontal="left" vertical="center"/>
    </xf>
    <xf numFmtId="0" fontId="0" fillId="15" borderId="82" xfId="0" applyFill="1" applyBorder="1" applyAlignment="1">
      <alignment horizontal="left" vertical="center"/>
    </xf>
    <xf numFmtId="0" fontId="0" fillId="15" borderId="75" xfId="0" applyFill="1" applyBorder="1" applyAlignment="1">
      <alignment horizontal="left"/>
    </xf>
    <xf numFmtId="0" fontId="0" fillId="15" borderId="95" xfId="0" applyFill="1" applyBorder="1" applyAlignment="1">
      <alignment horizontal="left"/>
    </xf>
    <xf numFmtId="0" fontId="0" fillId="15" borderId="68" xfId="0" applyFill="1" applyBorder="1" applyAlignment="1">
      <alignment horizontal="left"/>
    </xf>
    <xf numFmtId="0" fontId="0" fillId="15" borderId="82" xfId="0" applyFill="1" applyBorder="1" applyAlignment="1">
      <alignment horizontal="left"/>
    </xf>
    <xf numFmtId="0" fontId="0" fillId="15" borderId="97" xfId="0" applyFill="1" applyBorder="1" applyAlignment="1">
      <alignment horizontal="left"/>
    </xf>
    <xf numFmtId="0" fontId="0" fillId="15" borderId="94" xfId="0" applyFill="1" applyBorder="1" applyAlignment="1">
      <alignment horizontal="left"/>
    </xf>
    <xf numFmtId="0" fontId="0" fillId="15" borderId="120" xfId="0" applyFill="1" applyBorder="1" applyAlignment="1">
      <alignment horizontal="left"/>
    </xf>
    <xf numFmtId="0" fontId="0" fillId="15" borderId="191" xfId="0" applyFill="1" applyBorder="1" applyAlignment="1">
      <alignment horizontal="left"/>
    </xf>
    <xf numFmtId="0" fontId="0" fillId="15" borderId="8" xfId="0" applyFill="1" applyBorder="1" applyAlignment="1">
      <alignment horizontal="left" wrapText="1"/>
    </xf>
    <xf numFmtId="179" fontId="19" fillId="0" borderId="72" xfId="0" applyNumberFormat="1" applyFont="1" applyBorder="1" applyAlignment="1">
      <alignment horizontal="center" vertical="center"/>
    </xf>
    <xf numFmtId="0" fontId="0" fillId="22" borderId="0" xfId="0" applyFont="1" applyFill="1" applyBorder="1" applyAlignment="1">
      <alignment horizontal="center" wrapText="1"/>
    </xf>
    <xf numFmtId="0" fontId="0" fillId="15" borderId="73" xfId="0" applyFill="1" applyBorder="1" applyAlignment="1">
      <alignment horizontal="left" vertical="center"/>
    </xf>
    <xf numFmtId="0" fontId="0" fillId="0" borderId="66" xfId="0" applyBorder="1" applyAlignment="1">
      <alignment horizontal="center" vertical="center" wrapText="1"/>
    </xf>
    <xf numFmtId="0" fontId="0" fillId="0" borderId="192" xfId="0" applyBorder="1" applyAlignment="1">
      <alignment horizontal="center" vertical="center" wrapText="1"/>
    </xf>
    <xf numFmtId="179" fontId="19" fillId="0" borderId="191" xfId="0" applyNumberFormat="1" applyFont="1" applyBorder="1" applyAlignment="1">
      <alignment horizontal="center" vertical="center" wrapText="1"/>
    </xf>
    <xf numFmtId="179" fontId="19" fillId="0" borderId="121" xfId="0" applyNumberFormat="1" applyFont="1" applyBorder="1" applyAlignment="1">
      <alignment horizontal="center" vertical="center" wrapText="1"/>
    </xf>
    <xf numFmtId="0" fontId="0" fillId="15" borderId="132" xfId="0" applyFill="1" applyBorder="1" applyAlignment="1">
      <alignment horizontal="center" vertical="center"/>
    </xf>
    <xf numFmtId="0" fontId="0" fillId="15" borderId="133" xfId="0" applyFill="1" applyBorder="1" applyAlignment="1">
      <alignment horizontal="center" vertical="center"/>
    </xf>
    <xf numFmtId="0" fontId="0" fillId="15" borderId="99" xfId="0" applyFill="1" applyBorder="1" applyAlignment="1">
      <alignment horizontal="center" vertical="center" wrapText="1"/>
    </xf>
    <xf numFmtId="0" fontId="0" fillId="15" borderId="100" xfId="0" applyFill="1" applyBorder="1" applyAlignment="1">
      <alignment horizontal="center" vertical="center" wrapText="1"/>
    </xf>
    <xf numFmtId="0" fontId="0" fillId="15" borderId="90" xfId="0" applyFill="1" applyBorder="1" applyAlignment="1">
      <alignment horizontal="center" vertical="center"/>
    </xf>
    <xf numFmtId="0" fontId="0" fillId="15" borderId="87" xfId="0" applyFill="1" applyBorder="1" applyAlignment="1">
      <alignment horizontal="center" vertical="center"/>
    </xf>
    <xf numFmtId="0" fontId="18" fillId="0" borderId="193" xfId="0" applyFont="1" applyBorder="1" applyAlignment="1">
      <alignment horizontal="center" vertical="center"/>
    </xf>
    <xf numFmtId="0" fontId="18" fillId="0" borderId="156" xfId="0" applyFont="1" applyBorder="1" applyAlignment="1">
      <alignment horizontal="center" vertical="center"/>
    </xf>
    <xf numFmtId="0" fontId="18" fillId="0" borderId="197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8" fillId="0" borderId="97" xfId="0" applyFont="1" applyBorder="1" applyAlignment="1">
      <alignment horizontal="center"/>
    </xf>
    <xf numFmtId="0" fontId="18" fillId="0" borderId="200" xfId="0" applyFont="1" applyBorder="1" applyAlignment="1">
      <alignment horizontal="center"/>
    </xf>
    <xf numFmtId="0" fontId="18" fillId="0" borderId="201" xfId="0" applyFont="1" applyBorder="1" applyAlignment="1">
      <alignment horizontal="center"/>
    </xf>
    <xf numFmtId="0" fontId="18" fillId="0" borderId="189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0" fillId="15" borderId="94" xfId="0" applyFill="1" applyBorder="1" applyAlignment="1">
      <alignment horizontal="center" vertical="center" wrapText="1"/>
    </xf>
    <xf numFmtId="0" fontId="0" fillId="15" borderId="95" xfId="0" applyFill="1" applyBorder="1" applyAlignment="1">
      <alignment horizontal="center" vertical="center" wrapText="1"/>
    </xf>
    <xf numFmtId="0" fontId="0" fillId="15" borderId="51" xfId="0" applyFill="1" applyBorder="1" applyAlignment="1">
      <alignment horizontal="center" vertical="center" wrapText="1"/>
    </xf>
    <xf numFmtId="0" fontId="0" fillId="15" borderId="52" xfId="0" applyFill="1" applyBorder="1" applyAlignment="1">
      <alignment horizontal="center" vertical="center" wrapText="1"/>
    </xf>
    <xf numFmtId="184" fontId="0" fillId="0" borderId="36" xfId="0" applyNumberFormat="1" applyBorder="1" applyAlignment="1">
      <alignment horizontal="center" vertical="center"/>
    </xf>
    <xf numFmtId="184" fontId="0" fillId="0" borderId="72" xfId="0" applyNumberFormat="1" applyBorder="1" applyAlignment="1">
      <alignment horizontal="center"/>
    </xf>
    <xf numFmtId="184" fontId="0" fillId="0" borderId="74" xfId="0" applyNumberFormat="1" applyBorder="1" applyAlignment="1">
      <alignment horizontal="center"/>
    </xf>
    <xf numFmtId="0" fontId="0" fillId="15" borderId="83" xfId="0" applyFill="1" applyBorder="1" applyAlignment="1">
      <alignment horizontal="center" vertical="center" wrapText="1"/>
    </xf>
    <xf numFmtId="0" fontId="0" fillId="15" borderId="85" xfId="0" applyFill="1" applyBorder="1" applyAlignment="1">
      <alignment horizontal="center" vertical="center" wrapText="1"/>
    </xf>
    <xf numFmtId="0" fontId="0" fillId="15" borderId="97" xfId="0" applyFill="1" applyBorder="1" applyAlignment="1">
      <alignment horizontal="center" vertical="center" wrapText="1"/>
    </xf>
    <xf numFmtId="0" fontId="0" fillId="15" borderId="75" xfId="0" applyFill="1" applyBorder="1" applyAlignment="1">
      <alignment horizontal="center" vertical="center" wrapText="1"/>
    </xf>
    <xf numFmtId="0" fontId="0" fillId="15" borderId="10" xfId="0" applyFill="1" applyBorder="1" applyAlignment="1">
      <alignment horizontal="center" vertical="center" wrapText="1"/>
    </xf>
    <xf numFmtId="0" fontId="0" fillId="15" borderId="125" xfId="0" applyFill="1" applyBorder="1" applyAlignment="1">
      <alignment horizontal="center" vertical="center" wrapText="1"/>
    </xf>
    <xf numFmtId="183" fontId="18" fillId="0" borderId="65" xfId="0" applyNumberFormat="1" applyFont="1" applyBorder="1" applyAlignment="1">
      <alignment horizontal="center"/>
    </xf>
    <xf numFmtId="0" fontId="0" fillId="15" borderId="202" xfId="0" applyFill="1" applyBorder="1" applyAlignment="1">
      <alignment horizontal="left"/>
    </xf>
    <xf numFmtId="0" fontId="0" fillId="15" borderId="203" xfId="0" applyFill="1" applyBorder="1" applyAlignment="1">
      <alignment horizontal="left"/>
    </xf>
    <xf numFmtId="0" fontId="0" fillId="15" borderId="188" xfId="0" applyFill="1" applyBorder="1" applyAlignment="1">
      <alignment horizontal="left"/>
    </xf>
    <xf numFmtId="0" fontId="0" fillId="15" borderId="38" xfId="0" applyFill="1" applyBorder="1" applyAlignment="1">
      <alignment horizontal="left"/>
    </xf>
    <xf numFmtId="0" fontId="0" fillId="15" borderId="205" xfId="0" applyFill="1" applyBorder="1" applyAlignment="1">
      <alignment horizontal="left"/>
    </xf>
    <xf numFmtId="0" fontId="0" fillId="15" borderId="206" xfId="0" applyFill="1" applyBorder="1" applyAlignment="1">
      <alignment horizontal="left"/>
    </xf>
    <xf numFmtId="0" fontId="0" fillId="0" borderId="60" xfId="0" applyBorder="1" applyAlignment="1">
      <alignment horizontal="center" vertical="center" wrapText="1"/>
    </xf>
    <xf numFmtId="0" fontId="0" fillId="0" borderId="209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11" xfId="0" applyBorder="1" applyAlignment="1">
      <alignment horizontal="center" vertical="center" wrapText="1"/>
    </xf>
    <xf numFmtId="0" fontId="36" fillId="0" borderId="0" xfId="0" applyFont="1" applyBorder="1" applyAlignment="1">
      <alignment horizontal="left"/>
    </xf>
    <xf numFmtId="0" fontId="0" fillId="15" borderId="212" xfId="0" applyFill="1" applyBorder="1" applyAlignment="1">
      <alignment horizontal="left"/>
    </xf>
    <xf numFmtId="0" fontId="0" fillId="15" borderId="212" xfId="0" applyFill="1" applyBorder="1" applyAlignment="1"/>
    <xf numFmtId="0" fontId="0" fillId="15" borderId="38" xfId="0" applyFill="1" applyBorder="1" applyAlignment="1"/>
    <xf numFmtId="0" fontId="0" fillId="15" borderId="189" xfId="0" applyFill="1" applyBorder="1" applyAlignment="1">
      <alignment horizontal="left"/>
    </xf>
    <xf numFmtId="0" fontId="0" fillId="15" borderId="175" xfId="0" applyFill="1" applyBorder="1" applyAlignment="1">
      <alignment horizontal="left"/>
    </xf>
    <xf numFmtId="0" fontId="0" fillId="15" borderId="190" xfId="0" applyFill="1" applyBorder="1" applyAlignment="1">
      <alignment horizontal="left"/>
    </xf>
    <xf numFmtId="0" fontId="0" fillId="15" borderId="176" xfId="0" applyFill="1" applyBorder="1" applyAlignment="1">
      <alignment horizontal="left"/>
    </xf>
    <xf numFmtId="180" fontId="21" fillId="0" borderId="36" xfId="0" applyNumberFormat="1" applyFont="1" applyBorder="1" applyAlignment="1">
      <alignment horizontal="center" vertical="center"/>
    </xf>
    <xf numFmtId="9" fontId="21" fillId="0" borderId="92" xfId="0" applyNumberFormat="1" applyFont="1" applyBorder="1" applyAlignment="1">
      <alignment horizontal="center" vertical="center"/>
    </xf>
    <xf numFmtId="0" fontId="21" fillId="2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3" fillId="0" borderId="30" xfId="0" applyFont="1" applyBorder="1" applyAlignment="1">
      <alignment horizontal="left" vertical="top" wrapText="1"/>
    </xf>
    <xf numFmtId="0" fontId="0" fillId="0" borderId="8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82" xfId="0" applyFont="1" applyFill="1" applyBorder="1" applyAlignment="1">
      <alignment horizontal="center"/>
    </xf>
    <xf numFmtId="0" fontId="13" fillId="0" borderId="123" xfId="0" applyFont="1" applyBorder="1" applyAlignment="1">
      <alignment horizontal="center" vertical="center"/>
    </xf>
    <xf numFmtId="0" fontId="13" fillId="0" borderId="124" xfId="0" applyFont="1" applyBorder="1" applyAlignment="1">
      <alignment horizontal="center" vertical="center"/>
    </xf>
    <xf numFmtId="0" fontId="0" fillId="15" borderId="68" xfId="0" applyFont="1" applyFill="1" applyBorder="1" applyAlignment="1">
      <alignment horizontal="center"/>
    </xf>
    <xf numFmtId="0" fontId="0" fillId="15" borderId="8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0" fillId="15" borderId="8" xfId="0" applyFont="1" applyFill="1" applyBorder="1" applyAlignment="1">
      <alignment horizontal="center"/>
    </xf>
    <xf numFmtId="0" fontId="0" fillId="15" borderId="8" xfId="0" applyFont="1" applyFill="1" applyBorder="1" applyAlignment="1">
      <alignment horizontal="center" vertical="center"/>
    </xf>
    <xf numFmtId="0" fontId="0" fillId="22" borderId="0" xfId="0" applyFont="1" applyFill="1" applyAlignment="1">
      <alignment horizontal="center" wrapText="1"/>
    </xf>
    <xf numFmtId="0" fontId="0" fillId="15" borderId="8" xfId="0" applyFont="1" applyFill="1" applyBorder="1" applyAlignment="1">
      <alignment horizontal="center" vertical="center" wrapText="1"/>
    </xf>
    <xf numFmtId="0" fontId="0" fillId="15" borderId="8" xfId="0" applyFont="1" applyFill="1" applyBorder="1" applyAlignment="1">
      <alignment horizontal="left"/>
    </xf>
    <xf numFmtId="0" fontId="0" fillId="15" borderId="80" xfId="0" applyFill="1" applyBorder="1" applyAlignment="1">
      <alignment horizontal="left"/>
    </xf>
    <xf numFmtId="0" fontId="0" fillId="15" borderId="81" xfId="0" applyFill="1" applyBorder="1" applyAlignment="1">
      <alignment horizontal="left"/>
    </xf>
    <xf numFmtId="0" fontId="0" fillId="15" borderId="68" xfId="0" applyFill="1" applyBorder="1" applyAlignment="1">
      <alignment horizontal="center"/>
    </xf>
    <xf numFmtId="0" fontId="0" fillId="15" borderId="98" xfId="0" applyFill="1" applyBorder="1" applyAlignment="1">
      <alignment horizontal="center"/>
    </xf>
    <xf numFmtId="0" fontId="0" fillId="15" borderId="8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15" borderId="87" xfId="0" applyFill="1" applyBorder="1" applyAlignment="1">
      <alignment horizontal="left"/>
    </xf>
    <xf numFmtId="0" fontId="26" fillId="10" borderId="0" xfId="0" applyFont="1" applyFill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8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7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5" borderId="38" xfId="0" applyFill="1" applyBorder="1" applyAlignment="1">
      <alignment horizontal="center" vertical="center"/>
    </xf>
    <xf numFmtId="0" fontId="0" fillId="15" borderId="59" xfId="0" applyFill="1" applyBorder="1" applyAlignment="1">
      <alignment horizontal="center" vertical="center"/>
    </xf>
    <xf numFmtId="0" fontId="0" fillId="15" borderId="168" xfId="0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0" fillId="15" borderId="68" xfId="0" applyFill="1" applyBorder="1" applyAlignment="1">
      <alignment horizontal="center" vertical="center"/>
    </xf>
    <xf numFmtId="0" fontId="0" fillId="15" borderId="82" xfId="0" applyFill="1" applyBorder="1" applyAlignment="1">
      <alignment horizontal="center" vertical="center"/>
    </xf>
    <xf numFmtId="0" fontId="0" fillId="0" borderId="213" xfId="0" applyBorder="1" applyAlignment="1">
      <alignment horizontal="right" vertical="center"/>
    </xf>
    <xf numFmtId="0" fontId="0" fillId="0" borderId="98" xfId="0" applyBorder="1" applyAlignment="1">
      <alignment horizontal="right" vertical="center"/>
    </xf>
    <xf numFmtId="0" fontId="0" fillId="0" borderId="80" xfId="0" applyBorder="1" applyAlignment="1">
      <alignment horizontal="center"/>
    </xf>
    <xf numFmtId="0" fontId="0" fillId="0" borderId="32" xfId="0" applyBorder="1" applyAlignment="1">
      <alignment horizontal="right"/>
    </xf>
    <xf numFmtId="0" fontId="0" fillId="0" borderId="0" xfId="0" applyBorder="1" applyAlignment="1">
      <alignment horizontal="right"/>
    </xf>
    <xf numFmtId="0" fontId="21" fillId="22" borderId="0" xfId="0" applyFont="1" applyFill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14" xfId="0" applyBorder="1" applyAlignment="1">
      <alignment horizontal="right"/>
    </xf>
    <xf numFmtId="0" fontId="0" fillId="0" borderId="76" xfId="0" applyBorder="1" applyAlignment="1">
      <alignment horizontal="right"/>
    </xf>
    <xf numFmtId="0" fontId="0" fillId="15" borderId="100" xfId="0" applyFill="1" applyBorder="1" applyAlignment="1">
      <alignment horizontal="center"/>
    </xf>
    <xf numFmtId="0" fontId="0" fillId="15" borderId="73" xfId="0" applyFill="1" applyBorder="1" applyAlignment="1">
      <alignment horizontal="center"/>
    </xf>
    <xf numFmtId="0" fontId="0" fillId="15" borderId="99" xfId="0" applyFill="1" applyBorder="1" applyAlignment="1">
      <alignment horizontal="center"/>
    </xf>
    <xf numFmtId="0" fontId="0" fillId="15" borderId="91" xfId="0" applyFill="1" applyBorder="1" applyAlignment="1">
      <alignment horizontal="center"/>
    </xf>
    <xf numFmtId="0" fontId="0" fillId="15" borderId="93" xfId="0" applyFill="1" applyBorder="1" applyAlignment="1">
      <alignment horizontal="center"/>
    </xf>
    <xf numFmtId="0" fontId="0" fillId="0" borderId="191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0" xfId="0" applyBorder="1" applyAlignment="1">
      <alignment horizontal="left"/>
    </xf>
    <xf numFmtId="0" fontId="21" fillId="22" borderId="32" xfId="0" applyFont="1" applyFill="1" applyBorder="1" applyAlignment="1">
      <alignment horizontal="center" vertical="center" wrapText="1"/>
    </xf>
    <xf numFmtId="178" fontId="27" fillId="0" borderId="8" xfId="0" applyNumberFormat="1" applyFont="1" applyFill="1" applyBorder="1" applyAlignment="1">
      <alignment horizontal="center" vertical="center" wrapText="1"/>
    </xf>
    <xf numFmtId="0" fontId="27" fillId="15" borderId="8" xfId="0" applyFont="1" applyFill="1" applyBorder="1" applyAlignment="1">
      <alignment horizontal="center" vertical="center"/>
    </xf>
    <xf numFmtId="0" fontId="27" fillId="15" borderId="8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/>
    </xf>
    <xf numFmtId="183" fontId="27" fillId="0" borderId="68" xfId="0" applyNumberFormat="1" applyFont="1" applyFill="1" applyBorder="1" applyAlignment="1">
      <alignment horizontal="center"/>
    </xf>
    <xf numFmtId="183" fontId="27" fillId="0" borderId="82" xfId="0" applyNumberFormat="1" applyFont="1" applyFill="1" applyBorder="1" applyAlignment="1">
      <alignment horizontal="center"/>
    </xf>
    <xf numFmtId="0" fontId="28" fillId="0" borderId="80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68" xfId="0" applyFont="1" applyFill="1" applyBorder="1" applyAlignment="1">
      <alignment horizontal="center"/>
    </xf>
    <xf numFmtId="0" fontId="28" fillId="0" borderId="98" xfId="0" applyFont="1" applyFill="1" applyBorder="1" applyAlignment="1">
      <alignment horizontal="center"/>
    </xf>
    <xf numFmtId="0" fontId="28" fillId="0" borderId="82" xfId="0" applyFont="1" applyFill="1" applyBorder="1" applyAlignment="1">
      <alignment horizontal="center"/>
    </xf>
    <xf numFmtId="0" fontId="27" fillId="15" borderId="8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9" fontId="27" fillId="0" borderId="8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/>
    </xf>
    <xf numFmtId="0" fontId="27" fillId="15" borderId="68" xfId="0" applyFont="1" applyFill="1" applyBorder="1" applyAlignment="1">
      <alignment horizontal="center"/>
    </xf>
    <xf numFmtId="0" fontId="27" fillId="15" borderId="82" xfId="0" applyFont="1" applyFill="1" applyBorder="1" applyAlignment="1">
      <alignment horizontal="center"/>
    </xf>
    <xf numFmtId="0" fontId="14" fillId="0" borderId="120" xfId="0" applyFont="1" applyFill="1" applyBorder="1" applyAlignment="1">
      <alignment horizontal="center"/>
    </xf>
    <xf numFmtId="0" fontId="14" fillId="0" borderId="200" xfId="0" applyFont="1" applyFill="1" applyBorder="1" applyAlignment="1">
      <alignment horizontal="center"/>
    </xf>
    <xf numFmtId="0" fontId="14" fillId="0" borderId="201" xfId="0" applyFont="1" applyFill="1" applyBorder="1" applyAlignment="1">
      <alignment horizontal="center"/>
    </xf>
    <xf numFmtId="0" fontId="13" fillId="0" borderId="99" xfId="0" applyFont="1" applyFill="1" applyBorder="1" applyAlignment="1">
      <alignment horizontal="center"/>
    </xf>
    <xf numFmtId="0" fontId="13" fillId="0" borderId="91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center"/>
    </xf>
    <xf numFmtId="0" fontId="13" fillId="0" borderId="97" xfId="0" applyFont="1" applyFill="1" applyBorder="1" applyAlignment="1">
      <alignment horizontal="center"/>
    </xf>
    <xf numFmtId="0" fontId="13" fillId="0" borderId="200" xfId="0" applyFont="1" applyFill="1" applyBorder="1" applyAlignment="1">
      <alignment horizontal="center"/>
    </xf>
    <xf numFmtId="0" fontId="13" fillId="0" borderId="20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3" fillId="0" borderId="93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72" xfId="0" applyFont="1" applyFill="1" applyBorder="1" applyAlignment="1">
      <alignment horizontal="center"/>
    </xf>
    <xf numFmtId="0" fontId="27" fillId="15" borderId="8" xfId="0" applyFont="1" applyFill="1" applyBorder="1" applyAlignment="1">
      <alignment horizont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15" borderId="8" xfId="0" applyFont="1" applyFill="1" applyBorder="1" applyAlignment="1">
      <alignment horizontal="center"/>
    </xf>
    <xf numFmtId="0" fontId="38" fillId="24" borderId="0" xfId="0" applyFont="1" applyFill="1" applyAlignment="1">
      <alignment horizontal="center" vertical="center"/>
    </xf>
    <xf numFmtId="0" fontId="18" fillId="0" borderId="238" xfId="0" applyFont="1" applyBorder="1" applyAlignment="1">
      <alignment horizontal="center"/>
    </xf>
    <xf numFmtId="0" fontId="18" fillId="0" borderId="242" xfId="0" applyFont="1" applyBorder="1" applyAlignment="1">
      <alignment horizontal="center"/>
    </xf>
    <xf numFmtId="0" fontId="18" fillId="0" borderId="243" xfId="0" applyFont="1" applyBorder="1" applyAlignment="1">
      <alignment horizontal="center"/>
    </xf>
    <xf numFmtId="0" fontId="18" fillId="0" borderId="245" xfId="0" applyFont="1" applyBorder="1" applyAlignment="1">
      <alignment horizontal="center" vertical="center"/>
    </xf>
    <xf numFmtId="0" fontId="18" fillId="0" borderId="248" xfId="0" applyFont="1" applyBorder="1" applyAlignment="1">
      <alignment horizontal="center" vertical="center"/>
    </xf>
    <xf numFmtId="0" fontId="18" fillId="0" borderId="246" xfId="0" applyFont="1" applyBorder="1" applyAlignment="1">
      <alignment horizontal="center" vertical="center"/>
    </xf>
    <xf numFmtId="0" fontId="18" fillId="0" borderId="249" xfId="0" applyFont="1" applyBorder="1" applyAlignment="1">
      <alignment horizontal="center" vertical="center"/>
    </xf>
    <xf numFmtId="0" fontId="28" fillId="12" borderId="41" xfId="0" applyFont="1" applyFill="1" applyBorder="1" applyAlignment="1">
      <alignment horizontal="center"/>
    </xf>
    <xf numFmtId="0" fontId="28" fillId="12" borderId="40" xfId="0" applyFont="1" applyFill="1" applyBorder="1" applyAlignment="1">
      <alignment horizontal="center"/>
    </xf>
    <xf numFmtId="0" fontId="18" fillId="0" borderId="141" xfId="0" applyFont="1" applyBorder="1" applyAlignment="1">
      <alignment horizontal="center"/>
    </xf>
    <xf numFmtId="0" fontId="18" fillId="0" borderId="139" xfId="0" applyFont="1" applyBorder="1" applyAlignment="1">
      <alignment horizontal="center"/>
    </xf>
    <xf numFmtId="0" fontId="18" fillId="0" borderId="310" xfId="0" applyFont="1" applyBorder="1" applyAlignment="1">
      <alignment horizontal="center"/>
    </xf>
    <xf numFmtId="0" fontId="18" fillId="0" borderId="142" xfId="0" applyFont="1" applyBorder="1" applyAlignment="1">
      <alignment horizontal="center"/>
    </xf>
    <xf numFmtId="0" fontId="28" fillId="0" borderId="41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12" borderId="268" xfId="0" applyFont="1" applyFill="1" applyBorder="1" applyAlignment="1">
      <alignment horizontal="left" vertic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ipervínculo" xfId="20" builtinId="8"/>
    <cellStyle name="Millares" xfId="12" builtinId="3"/>
    <cellStyle name="Moneda" xfId="13" builtinId="4"/>
    <cellStyle name="Neutral" xfId="14" builtinId="28" customBuiltin="1"/>
    <cellStyle name="Normal" xfId="0" builtinId="0"/>
    <cellStyle name="Note" xfId="15"/>
    <cellStyle name="Porcentaje" xfId="16" builtinId="5"/>
    <cellStyle name="Status" xfId="17"/>
    <cellStyle name="Text" xfId="18"/>
    <cellStyle name="Warning" xfId="19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679690775713E-2"/>
          <c:y val="1.2630874998030946E-2"/>
          <c:w val="0.90515272547453307"/>
          <c:h val="0.93258065312368865"/>
        </c:manualLayout>
      </c:layout>
      <c:lineChart>
        <c:grouping val="standard"/>
        <c:varyColors val="0"/>
        <c:ser>
          <c:idx val="0"/>
          <c:order val="0"/>
          <c:tx>
            <c:v>Ventas Año 5</c:v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'E-Costos'!$H$144:$H$244</c:f>
              <c:numCache>
                <c:formatCode>_(\$* #,##0.00_);_(\$* \(#,##0.00\);_(\$* \-??_);_(@_)</c:formatCode>
                <c:ptCount val="101"/>
                <c:pt idx="0">
                  <c:v>30000000</c:v>
                </c:pt>
                <c:pt idx="1">
                  <c:v>30000000</c:v>
                </c:pt>
                <c:pt idx="2">
                  <c:v>30000000</c:v>
                </c:pt>
                <c:pt idx="3">
                  <c:v>30000000</c:v>
                </c:pt>
                <c:pt idx="4">
                  <c:v>30000000</c:v>
                </c:pt>
                <c:pt idx="5">
                  <c:v>30000000</c:v>
                </c:pt>
                <c:pt idx="6">
                  <c:v>30000000</c:v>
                </c:pt>
                <c:pt idx="7">
                  <c:v>30000000</c:v>
                </c:pt>
                <c:pt idx="8">
                  <c:v>30000000</c:v>
                </c:pt>
                <c:pt idx="9">
                  <c:v>30000000</c:v>
                </c:pt>
                <c:pt idx="10">
                  <c:v>30000000</c:v>
                </c:pt>
                <c:pt idx="11">
                  <c:v>30000000</c:v>
                </c:pt>
                <c:pt idx="12">
                  <c:v>30000000</c:v>
                </c:pt>
                <c:pt idx="13">
                  <c:v>30000000</c:v>
                </c:pt>
                <c:pt idx="14">
                  <c:v>30000000</c:v>
                </c:pt>
                <c:pt idx="15">
                  <c:v>30000000</c:v>
                </c:pt>
                <c:pt idx="16">
                  <c:v>30000000</c:v>
                </c:pt>
                <c:pt idx="17">
                  <c:v>30000000</c:v>
                </c:pt>
                <c:pt idx="18">
                  <c:v>30000000</c:v>
                </c:pt>
                <c:pt idx="19">
                  <c:v>30000000</c:v>
                </c:pt>
                <c:pt idx="20">
                  <c:v>30000000</c:v>
                </c:pt>
                <c:pt idx="21">
                  <c:v>30000000</c:v>
                </c:pt>
                <c:pt idx="22">
                  <c:v>30000000</c:v>
                </c:pt>
                <c:pt idx="23">
                  <c:v>30000000</c:v>
                </c:pt>
                <c:pt idx="24">
                  <c:v>30000000</c:v>
                </c:pt>
                <c:pt idx="25">
                  <c:v>30000000</c:v>
                </c:pt>
                <c:pt idx="26">
                  <c:v>30000000</c:v>
                </c:pt>
                <c:pt idx="27">
                  <c:v>30000000</c:v>
                </c:pt>
                <c:pt idx="28">
                  <c:v>30000000</c:v>
                </c:pt>
                <c:pt idx="29">
                  <c:v>30000000</c:v>
                </c:pt>
                <c:pt idx="30">
                  <c:v>30000000</c:v>
                </c:pt>
                <c:pt idx="31">
                  <c:v>30000000</c:v>
                </c:pt>
                <c:pt idx="32">
                  <c:v>30000000</c:v>
                </c:pt>
                <c:pt idx="33">
                  <c:v>30000000</c:v>
                </c:pt>
                <c:pt idx="34">
                  <c:v>30000000</c:v>
                </c:pt>
                <c:pt idx="35">
                  <c:v>30000000</c:v>
                </c:pt>
                <c:pt idx="36">
                  <c:v>30000000</c:v>
                </c:pt>
                <c:pt idx="37">
                  <c:v>30000000</c:v>
                </c:pt>
                <c:pt idx="38">
                  <c:v>30000000</c:v>
                </c:pt>
                <c:pt idx="39">
                  <c:v>30000000</c:v>
                </c:pt>
                <c:pt idx="40">
                  <c:v>30000000</c:v>
                </c:pt>
                <c:pt idx="41">
                  <c:v>30000000</c:v>
                </c:pt>
                <c:pt idx="42">
                  <c:v>30000000</c:v>
                </c:pt>
                <c:pt idx="43">
                  <c:v>30000000</c:v>
                </c:pt>
                <c:pt idx="44">
                  <c:v>30000000</c:v>
                </c:pt>
                <c:pt idx="45">
                  <c:v>30000000</c:v>
                </c:pt>
                <c:pt idx="46">
                  <c:v>30000000</c:v>
                </c:pt>
                <c:pt idx="47">
                  <c:v>30000000</c:v>
                </c:pt>
                <c:pt idx="48">
                  <c:v>30000000</c:v>
                </c:pt>
                <c:pt idx="49">
                  <c:v>30000000</c:v>
                </c:pt>
                <c:pt idx="50">
                  <c:v>30000000</c:v>
                </c:pt>
                <c:pt idx="51">
                  <c:v>30000000</c:v>
                </c:pt>
                <c:pt idx="52">
                  <c:v>30000000</c:v>
                </c:pt>
                <c:pt idx="53">
                  <c:v>30000000</c:v>
                </c:pt>
                <c:pt idx="54">
                  <c:v>30000000</c:v>
                </c:pt>
                <c:pt idx="55">
                  <c:v>30000000</c:v>
                </c:pt>
                <c:pt idx="56">
                  <c:v>30000000</c:v>
                </c:pt>
                <c:pt idx="57">
                  <c:v>30000000</c:v>
                </c:pt>
                <c:pt idx="58">
                  <c:v>30000000</c:v>
                </c:pt>
                <c:pt idx="59">
                  <c:v>30000000</c:v>
                </c:pt>
                <c:pt idx="60">
                  <c:v>30000000</c:v>
                </c:pt>
                <c:pt idx="61">
                  <c:v>30000000</c:v>
                </c:pt>
                <c:pt idx="62">
                  <c:v>30000000</c:v>
                </c:pt>
                <c:pt idx="63">
                  <c:v>30000000</c:v>
                </c:pt>
                <c:pt idx="64">
                  <c:v>30000000</c:v>
                </c:pt>
                <c:pt idx="65">
                  <c:v>30000000</c:v>
                </c:pt>
                <c:pt idx="66">
                  <c:v>30000000</c:v>
                </c:pt>
                <c:pt idx="67">
                  <c:v>30000000</c:v>
                </c:pt>
                <c:pt idx="68">
                  <c:v>30000000</c:v>
                </c:pt>
                <c:pt idx="69">
                  <c:v>30000000</c:v>
                </c:pt>
                <c:pt idx="70">
                  <c:v>30000000</c:v>
                </c:pt>
                <c:pt idx="71">
                  <c:v>30000000</c:v>
                </c:pt>
                <c:pt idx="72">
                  <c:v>30000000</c:v>
                </c:pt>
                <c:pt idx="73">
                  <c:v>30000000</c:v>
                </c:pt>
                <c:pt idx="74">
                  <c:v>30000000</c:v>
                </c:pt>
                <c:pt idx="75">
                  <c:v>30000000</c:v>
                </c:pt>
                <c:pt idx="76">
                  <c:v>30000000</c:v>
                </c:pt>
                <c:pt idx="77">
                  <c:v>30000000</c:v>
                </c:pt>
                <c:pt idx="78">
                  <c:v>30000000</c:v>
                </c:pt>
                <c:pt idx="79">
                  <c:v>30000000</c:v>
                </c:pt>
                <c:pt idx="80">
                  <c:v>30000000</c:v>
                </c:pt>
                <c:pt idx="81">
                  <c:v>30000000</c:v>
                </c:pt>
                <c:pt idx="82">
                  <c:v>30000000</c:v>
                </c:pt>
                <c:pt idx="83">
                  <c:v>30000000</c:v>
                </c:pt>
                <c:pt idx="84">
                  <c:v>30000000</c:v>
                </c:pt>
                <c:pt idx="85">
                  <c:v>30000000</c:v>
                </c:pt>
                <c:pt idx="86">
                  <c:v>30000000</c:v>
                </c:pt>
                <c:pt idx="87">
                  <c:v>30000000</c:v>
                </c:pt>
                <c:pt idx="88">
                  <c:v>30000000</c:v>
                </c:pt>
                <c:pt idx="89">
                  <c:v>30000000</c:v>
                </c:pt>
                <c:pt idx="90">
                  <c:v>30000000</c:v>
                </c:pt>
                <c:pt idx="91">
                  <c:v>30000000</c:v>
                </c:pt>
                <c:pt idx="92">
                  <c:v>30000000</c:v>
                </c:pt>
                <c:pt idx="93">
                  <c:v>30000000</c:v>
                </c:pt>
                <c:pt idx="94">
                  <c:v>30000000</c:v>
                </c:pt>
                <c:pt idx="95">
                  <c:v>30000000</c:v>
                </c:pt>
                <c:pt idx="96">
                  <c:v>30000000</c:v>
                </c:pt>
                <c:pt idx="97">
                  <c:v>30000000</c:v>
                </c:pt>
                <c:pt idx="98">
                  <c:v>30000000</c:v>
                </c:pt>
                <c:pt idx="99">
                  <c:v>30000000</c:v>
                </c:pt>
                <c:pt idx="100">
                  <c:v>30000000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F7-4447-98E4-EFDD330BCE12}"/>
            </c:ext>
          </c:extLst>
        </c:ser>
        <c:ser>
          <c:idx val="2"/>
          <c:order val="1"/>
          <c:tx>
            <c:v>CFT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'E-Costos'!$I$144:$I$244</c:f>
              <c:numCache>
                <c:formatCode>_(\$* #,##0.00_);_(\$* \(#,##0.00\);_(\$* \-??_);_(@_)</c:formatCode>
                <c:ptCount val="101"/>
                <c:pt idx="0">
                  <c:v>7212171.7913507083</c:v>
                </c:pt>
                <c:pt idx="1">
                  <c:v>7212171.7913507083</c:v>
                </c:pt>
                <c:pt idx="2">
                  <c:v>7212171.7913507083</c:v>
                </c:pt>
                <c:pt idx="3">
                  <c:v>7212171.7913507083</c:v>
                </c:pt>
                <c:pt idx="4">
                  <c:v>7212171.7913507083</c:v>
                </c:pt>
                <c:pt idx="5">
                  <c:v>7212171.7913507083</c:v>
                </c:pt>
                <c:pt idx="6">
                  <c:v>7212171.7913507083</c:v>
                </c:pt>
                <c:pt idx="7">
                  <c:v>7212171.7913507083</c:v>
                </c:pt>
                <c:pt idx="8">
                  <c:v>7212171.7913507083</c:v>
                </c:pt>
                <c:pt idx="9">
                  <c:v>7212171.7913507083</c:v>
                </c:pt>
                <c:pt idx="10">
                  <c:v>7212171.7913507083</c:v>
                </c:pt>
                <c:pt idx="11">
                  <c:v>7212171.7913507083</c:v>
                </c:pt>
                <c:pt idx="12">
                  <c:v>7212171.7913507083</c:v>
                </c:pt>
                <c:pt idx="13">
                  <c:v>7212171.7913507083</c:v>
                </c:pt>
                <c:pt idx="14">
                  <c:v>7212171.7913507083</c:v>
                </c:pt>
                <c:pt idx="15">
                  <c:v>7212171.7913507083</c:v>
                </c:pt>
                <c:pt idx="16">
                  <c:v>7212171.7913507083</c:v>
                </c:pt>
                <c:pt idx="17">
                  <c:v>7212171.7913507083</c:v>
                </c:pt>
                <c:pt idx="18">
                  <c:v>7212171.7913507083</c:v>
                </c:pt>
                <c:pt idx="19">
                  <c:v>7212171.7913507083</c:v>
                </c:pt>
                <c:pt idx="20">
                  <c:v>7212171.7913507083</c:v>
                </c:pt>
                <c:pt idx="21">
                  <c:v>7212171.7913507083</c:v>
                </c:pt>
                <c:pt idx="22">
                  <c:v>7212171.7913507083</c:v>
                </c:pt>
                <c:pt idx="23">
                  <c:v>7212171.7913507083</c:v>
                </c:pt>
                <c:pt idx="24">
                  <c:v>7212171.7913507083</c:v>
                </c:pt>
                <c:pt idx="25">
                  <c:v>7212171.7913507083</c:v>
                </c:pt>
                <c:pt idx="26">
                  <c:v>7212171.7913507083</c:v>
                </c:pt>
                <c:pt idx="27">
                  <c:v>7212171.7913507083</c:v>
                </c:pt>
                <c:pt idx="28">
                  <c:v>7212171.7913507083</c:v>
                </c:pt>
                <c:pt idx="29">
                  <c:v>7212171.7913507083</c:v>
                </c:pt>
                <c:pt idx="30">
                  <c:v>7212171.7913507083</c:v>
                </c:pt>
                <c:pt idx="31">
                  <c:v>7212171.7913507083</c:v>
                </c:pt>
                <c:pt idx="32">
                  <c:v>7212171.7913507083</c:v>
                </c:pt>
                <c:pt idx="33">
                  <c:v>7212171.7913507083</c:v>
                </c:pt>
                <c:pt idx="34">
                  <c:v>7212171.7913507083</c:v>
                </c:pt>
                <c:pt idx="35">
                  <c:v>7212171.7913507083</c:v>
                </c:pt>
                <c:pt idx="36">
                  <c:v>7212171.7913507083</c:v>
                </c:pt>
                <c:pt idx="37">
                  <c:v>7212171.7913507083</c:v>
                </c:pt>
                <c:pt idx="38">
                  <c:v>7212171.7913507083</c:v>
                </c:pt>
                <c:pt idx="39">
                  <c:v>7212171.7913507083</c:v>
                </c:pt>
                <c:pt idx="40">
                  <c:v>7212171.7913507083</c:v>
                </c:pt>
                <c:pt idx="41">
                  <c:v>7212171.7913507083</c:v>
                </c:pt>
                <c:pt idx="42">
                  <c:v>7212171.7913507083</c:v>
                </c:pt>
                <c:pt idx="43">
                  <c:v>7212171.7913507083</c:v>
                </c:pt>
                <c:pt idx="44">
                  <c:v>7212171.7913507083</c:v>
                </c:pt>
                <c:pt idx="45">
                  <c:v>7212171.7913507083</c:v>
                </c:pt>
                <c:pt idx="46">
                  <c:v>7212171.7913507083</c:v>
                </c:pt>
                <c:pt idx="47">
                  <c:v>7212171.7913507083</c:v>
                </c:pt>
                <c:pt idx="48">
                  <c:v>7212171.7913507083</c:v>
                </c:pt>
                <c:pt idx="49">
                  <c:v>7212171.7913507083</c:v>
                </c:pt>
                <c:pt idx="50">
                  <c:v>7212171.7913507083</c:v>
                </c:pt>
                <c:pt idx="51">
                  <c:v>7212171.7913507083</c:v>
                </c:pt>
                <c:pt idx="52">
                  <c:v>7212171.7913507083</c:v>
                </c:pt>
                <c:pt idx="53">
                  <c:v>7212171.7913507083</c:v>
                </c:pt>
                <c:pt idx="54">
                  <c:v>7212171.7913507083</c:v>
                </c:pt>
                <c:pt idx="55">
                  <c:v>7212171.7913507083</c:v>
                </c:pt>
                <c:pt idx="56">
                  <c:v>7212171.7913507083</c:v>
                </c:pt>
                <c:pt idx="57">
                  <c:v>7212171.7913507083</c:v>
                </c:pt>
                <c:pt idx="58">
                  <c:v>7212171.7913507083</c:v>
                </c:pt>
                <c:pt idx="59">
                  <c:v>7212171.7913507083</c:v>
                </c:pt>
                <c:pt idx="60">
                  <c:v>7212171.7913507083</c:v>
                </c:pt>
                <c:pt idx="61">
                  <c:v>7212171.7913507083</c:v>
                </c:pt>
                <c:pt idx="62">
                  <c:v>7212171.7913507083</c:v>
                </c:pt>
                <c:pt idx="63">
                  <c:v>7212171.7913507083</c:v>
                </c:pt>
                <c:pt idx="64">
                  <c:v>7212171.7913507083</c:v>
                </c:pt>
                <c:pt idx="65">
                  <c:v>7212171.7913507083</c:v>
                </c:pt>
                <c:pt idx="66">
                  <c:v>7212171.7913507083</c:v>
                </c:pt>
                <c:pt idx="67">
                  <c:v>7212171.7913507083</c:v>
                </c:pt>
                <c:pt idx="68">
                  <c:v>7212171.7913507083</c:v>
                </c:pt>
                <c:pt idx="69">
                  <c:v>7212171.7913507083</c:v>
                </c:pt>
                <c:pt idx="70">
                  <c:v>7212171.7913507083</c:v>
                </c:pt>
                <c:pt idx="71">
                  <c:v>7212171.7913507083</c:v>
                </c:pt>
                <c:pt idx="72">
                  <c:v>7212171.7913507083</c:v>
                </c:pt>
                <c:pt idx="73">
                  <c:v>7212171.7913507083</c:v>
                </c:pt>
                <c:pt idx="74">
                  <c:v>7212171.7913507083</c:v>
                </c:pt>
                <c:pt idx="75">
                  <c:v>7212171.7913507083</c:v>
                </c:pt>
                <c:pt idx="76">
                  <c:v>7212171.7913507083</c:v>
                </c:pt>
                <c:pt idx="77">
                  <c:v>7212171.7913507083</c:v>
                </c:pt>
                <c:pt idx="78">
                  <c:v>7212171.7913507083</c:v>
                </c:pt>
                <c:pt idx="79">
                  <c:v>7212171.7913507083</c:v>
                </c:pt>
                <c:pt idx="80">
                  <c:v>7212171.7913507083</c:v>
                </c:pt>
                <c:pt idx="81">
                  <c:v>7212171.7913507083</c:v>
                </c:pt>
                <c:pt idx="82">
                  <c:v>7212171.7913507083</c:v>
                </c:pt>
                <c:pt idx="83">
                  <c:v>7212171.7913507083</c:v>
                </c:pt>
                <c:pt idx="84">
                  <c:v>7212171.7913507083</c:v>
                </c:pt>
                <c:pt idx="85">
                  <c:v>7212171.7913507083</c:v>
                </c:pt>
                <c:pt idx="86">
                  <c:v>7212171.7913507083</c:v>
                </c:pt>
                <c:pt idx="87">
                  <c:v>7212171.7913507083</c:v>
                </c:pt>
                <c:pt idx="88">
                  <c:v>7212171.7913507083</c:v>
                </c:pt>
                <c:pt idx="89">
                  <c:v>7212171.7913507083</c:v>
                </c:pt>
                <c:pt idx="90">
                  <c:v>7212171.7913507083</c:v>
                </c:pt>
                <c:pt idx="91">
                  <c:v>7212171.7913507083</c:v>
                </c:pt>
                <c:pt idx="92">
                  <c:v>7212171.7913507083</c:v>
                </c:pt>
                <c:pt idx="93">
                  <c:v>7212171.7913507083</c:v>
                </c:pt>
                <c:pt idx="94">
                  <c:v>7212171.7913507083</c:v>
                </c:pt>
                <c:pt idx="95">
                  <c:v>7212171.7913507083</c:v>
                </c:pt>
                <c:pt idx="96">
                  <c:v>7212171.7913507083</c:v>
                </c:pt>
                <c:pt idx="97">
                  <c:v>7212171.7913507083</c:v>
                </c:pt>
                <c:pt idx="98">
                  <c:v>7212171.7913507083</c:v>
                </c:pt>
                <c:pt idx="99">
                  <c:v>7212171.7913507083</c:v>
                </c:pt>
                <c:pt idx="100">
                  <c:v>7212171.7913507083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F7-4447-98E4-EFDD330BCE12}"/>
            </c:ext>
          </c:extLst>
        </c:ser>
        <c:ser>
          <c:idx val="3"/>
          <c:order val="2"/>
          <c:tx>
            <c:v>Ing Año 5</c:v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'E-Costos'!$J$144:$J$244</c:f>
              <c:numCache>
                <c:formatCode>_(\$* #,##0.00_);_(\$* \(#,##0.00\);_(\$* \-??_);_(@_)</c:formatCode>
                <c:ptCount val="101"/>
                <c:pt idx="0">
                  <c:v>0</c:v>
                </c:pt>
                <c:pt idx="1">
                  <c:v>300000</c:v>
                </c:pt>
                <c:pt idx="2">
                  <c:v>600000</c:v>
                </c:pt>
                <c:pt idx="3">
                  <c:v>900000</c:v>
                </c:pt>
                <c:pt idx="4">
                  <c:v>1200000</c:v>
                </c:pt>
                <c:pt idx="5">
                  <c:v>1500000</c:v>
                </c:pt>
                <c:pt idx="6">
                  <c:v>1800000</c:v>
                </c:pt>
                <c:pt idx="7">
                  <c:v>2100000</c:v>
                </c:pt>
                <c:pt idx="8">
                  <c:v>2400000</c:v>
                </c:pt>
                <c:pt idx="9">
                  <c:v>2700000</c:v>
                </c:pt>
                <c:pt idx="10">
                  <c:v>3000000</c:v>
                </c:pt>
                <c:pt idx="11">
                  <c:v>3300000</c:v>
                </c:pt>
                <c:pt idx="12">
                  <c:v>3600000</c:v>
                </c:pt>
                <c:pt idx="13">
                  <c:v>3900000</c:v>
                </c:pt>
                <c:pt idx="14">
                  <c:v>4200000</c:v>
                </c:pt>
                <c:pt idx="15">
                  <c:v>4500000</c:v>
                </c:pt>
                <c:pt idx="16">
                  <c:v>4800000</c:v>
                </c:pt>
                <c:pt idx="17">
                  <c:v>5100000</c:v>
                </c:pt>
                <c:pt idx="18">
                  <c:v>5400000</c:v>
                </c:pt>
                <c:pt idx="19">
                  <c:v>5700000</c:v>
                </c:pt>
                <c:pt idx="20">
                  <c:v>6000000</c:v>
                </c:pt>
                <c:pt idx="21">
                  <c:v>6300000</c:v>
                </c:pt>
                <c:pt idx="22">
                  <c:v>6600000</c:v>
                </c:pt>
                <c:pt idx="23">
                  <c:v>6900000</c:v>
                </c:pt>
                <c:pt idx="24">
                  <c:v>7200000</c:v>
                </c:pt>
                <c:pt idx="25">
                  <c:v>7500000</c:v>
                </c:pt>
                <c:pt idx="26">
                  <c:v>7800000</c:v>
                </c:pt>
                <c:pt idx="27">
                  <c:v>8100000</c:v>
                </c:pt>
                <c:pt idx="28">
                  <c:v>8400000</c:v>
                </c:pt>
                <c:pt idx="29">
                  <c:v>8700000</c:v>
                </c:pt>
                <c:pt idx="30">
                  <c:v>9000000</c:v>
                </c:pt>
                <c:pt idx="31">
                  <c:v>9300000</c:v>
                </c:pt>
                <c:pt idx="32">
                  <c:v>9600000</c:v>
                </c:pt>
                <c:pt idx="33">
                  <c:v>9900000</c:v>
                </c:pt>
                <c:pt idx="34">
                  <c:v>10200000</c:v>
                </c:pt>
                <c:pt idx="35">
                  <c:v>10500000</c:v>
                </c:pt>
                <c:pt idx="36">
                  <c:v>10800000</c:v>
                </c:pt>
                <c:pt idx="37">
                  <c:v>11100000</c:v>
                </c:pt>
                <c:pt idx="38">
                  <c:v>11400000</c:v>
                </c:pt>
                <c:pt idx="39">
                  <c:v>11700000</c:v>
                </c:pt>
                <c:pt idx="40">
                  <c:v>12000000</c:v>
                </c:pt>
                <c:pt idx="41">
                  <c:v>12300000</c:v>
                </c:pt>
                <c:pt idx="42">
                  <c:v>12600000</c:v>
                </c:pt>
                <c:pt idx="43">
                  <c:v>12900000</c:v>
                </c:pt>
                <c:pt idx="44">
                  <c:v>13200000</c:v>
                </c:pt>
                <c:pt idx="45">
                  <c:v>13500000</c:v>
                </c:pt>
                <c:pt idx="46">
                  <c:v>13800000</c:v>
                </c:pt>
                <c:pt idx="47">
                  <c:v>14100000</c:v>
                </c:pt>
                <c:pt idx="48">
                  <c:v>14400000</c:v>
                </c:pt>
                <c:pt idx="49">
                  <c:v>14700000</c:v>
                </c:pt>
                <c:pt idx="50">
                  <c:v>15000000</c:v>
                </c:pt>
                <c:pt idx="51">
                  <c:v>15300000</c:v>
                </c:pt>
                <c:pt idx="52">
                  <c:v>15600000</c:v>
                </c:pt>
                <c:pt idx="53">
                  <c:v>15900000</c:v>
                </c:pt>
                <c:pt idx="54">
                  <c:v>16200000</c:v>
                </c:pt>
                <c:pt idx="55">
                  <c:v>16500000</c:v>
                </c:pt>
                <c:pt idx="56">
                  <c:v>16800000</c:v>
                </c:pt>
                <c:pt idx="57">
                  <c:v>17100000</c:v>
                </c:pt>
                <c:pt idx="58">
                  <c:v>17400000</c:v>
                </c:pt>
                <c:pt idx="59">
                  <c:v>17700000</c:v>
                </c:pt>
                <c:pt idx="60">
                  <c:v>18000000</c:v>
                </c:pt>
                <c:pt idx="61">
                  <c:v>18300000</c:v>
                </c:pt>
                <c:pt idx="62">
                  <c:v>18600000</c:v>
                </c:pt>
                <c:pt idx="63">
                  <c:v>18900000</c:v>
                </c:pt>
                <c:pt idx="64">
                  <c:v>19200000</c:v>
                </c:pt>
                <c:pt idx="65">
                  <c:v>19500000</c:v>
                </c:pt>
                <c:pt idx="66">
                  <c:v>19800000</c:v>
                </c:pt>
                <c:pt idx="67">
                  <c:v>20100000</c:v>
                </c:pt>
                <c:pt idx="68">
                  <c:v>20400000</c:v>
                </c:pt>
                <c:pt idx="69">
                  <c:v>20700000</c:v>
                </c:pt>
                <c:pt idx="70">
                  <c:v>21000000</c:v>
                </c:pt>
                <c:pt idx="71">
                  <c:v>21300000</c:v>
                </c:pt>
                <c:pt idx="72">
                  <c:v>21600000</c:v>
                </c:pt>
                <c:pt idx="73">
                  <c:v>21900000</c:v>
                </c:pt>
                <c:pt idx="74">
                  <c:v>22200000</c:v>
                </c:pt>
                <c:pt idx="75">
                  <c:v>22500000</c:v>
                </c:pt>
                <c:pt idx="76">
                  <c:v>22800000</c:v>
                </c:pt>
                <c:pt idx="77">
                  <c:v>23100000</c:v>
                </c:pt>
                <c:pt idx="78">
                  <c:v>23400000</c:v>
                </c:pt>
                <c:pt idx="79">
                  <c:v>23700000</c:v>
                </c:pt>
                <c:pt idx="80">
                  <c:v>24000000</c:v>
                </c:pt>
                <c:pt idx="81">
                  <c:v>24300000</c:v>
                </c:pt>
                <c:pt idx="82">
                  <c:v>24600000</c:v>
                </c:pt>
                <c:pt idx="83">
                  <c:v>24900000</c:v>
                </c:pt>
                <c:pt idx="84">
                  <c:v>25200000</c:v>
                </c:pt>
                <c:pt idx="85">
                  <c:v>25500000</c:v>
                </c:pt>
                <c:pt idx="86">
                  <c:v>25800000</c:v>
                </c:pt>
                <c:pt idx="87">
                  <c:v>26100000</c:v>
                </c:pt>
                <c:pt idx="88">
                  <c:v>26400000</c:v>
                </c:pt>
                <c:pt idx="89">
                  <c:v>26700000</c:v>
                </c:pt>
                <c:pt idx="90">
                  <c:v>27000000</c:v>
                </c:pt>
                <c:pt idx="91">
                  <c:v>27300000</c:v>
                </c:pt>
                <c:pt idx="92">
                  <c:v>27600000</c:v>
                </c:pt>
                <c:pt idx="93">
                  <c:v>27900000</c:v>
                </c:pt>
                <c:pt idx="94">
                  <c:v>28200000</c:v>
                </c:pt>
                <c:pt idx="95">
                  <c:v>28500000</c:v>
                </c:pt>
                <c:pt idx="96">
                  <c:v>28800000</c:v>
                </c:pt>
                <c:pt idx="97">
                  <c:v>29100000</c:v>
                </c:pt>
                <c:pt idx="98">
                  <c:v>29400000</c:v>
                </c:pt>
                <c:pt idx="99">
                  <c:v>29700000</c:v>
                </c:pt>
                <c:pt idx="100">
                  <c:v>30000000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F7-4447-98E4-EFDD330BCE12}"/>
            </c:ext>
          </c:extLst>
        </c:ser>
        <c:ser>
          <c:idx val="1"/>
          <c:order val="3"/>
          <c:tx>
            <c:v>CV Año 5</c:v>
          </c:tx>
          <c:spPr>
            <a:ln w="28575"/>
          </c:spPr>
          <c:marker>
            <c:symbol val="none"/>
          </c:marker>
          <c:val>
            <c:numRef>
              <c:f>'E-Costos'!$L$144:$L$244</c:f>
              <c:numCache>
                <c:formatCode>_ "$"\ * #,##0.00_ ;_ "$"\ * \-#,##0.00_ ;_ "$"\ * "-"??_ ;_ @_ </c:formatCode>
                <c:ptCount val="101"/>
                <c:pt idx="0" formatCode="_-&quot;$&quot;* #,##0.00_-;\-&quot;$&quot;* #,##0.00_-;_-&quot;$&quot;* &quot;-&quot;??_-;_-@_-">
                  <c:v>7212171.7913507083</c:v>
                </c:pt>
                <c:pt idx="1">
                  <c:v>7314343.9772707084</c:v>
                </c:pt>
                <c:pt idx="2">
                  <c:v>7416516.1631907085</c:v>
                </c:pt>
                <c:pt idx="3">
                  <c:v>7518688.3491107086</c:v>
                </c:pt>
                <c:pt idx="4">
                  <c:v>7620860.5350307086</c:v>
                </c:pt>
                <c:pt idx="5">
                  <c:v>7723032.7209507087</c:v>
                </c:pt>
                <c:pt idx="6">
                  <c:v>7825204.9068707088</c:v>
                </c:pt>
                <c:pt idx="7">
                  <c:v>7927377.0927907089</c:v>
                </c:pt>
                <c:pt idx="8">
                  <c:v>8029549.278710709</c:v>
                </c:pt>
                <c:pt idx="9">
                  <c:v>8131721.464630709</c:v>
                </c:pt>
                <c:pt idx="10">
                  <c:v>8233893.6505507091</c:v>
                </c:pt>
                <c:pt idx="11">
                  <c:v>8336065.8364707092</c:v>
                </c:pt>
                <c:pt idx="12">
                  <c:v>8438238.0223907083</c:v>
                </c:pt>
                <c:pt idx="13">
                  <c:v>8540410.2083107084</c:v>
                </c:pt>
                <c:pt idx="14">
                  <c:v>8642582.3942307085</c:v>
                </c:pt>
                <c:pt idx="15">
                  <c:v>8744754.5801507086</c:v>
                </c:pt>
                <c:pt idx="16">
                  <c:v>8846926.7660707086</c:v>
                </c:pt>
                <c:pt idx="17">
                  <c:v>8949098.9519907087</c:v>
                </c:pt>
                <c:pt idx="18">
                  <c:v>9051271.1379107088</c:v>
                </c:pt>
                <c:pt idx="19">
                  <c:v>9153443.3238307089</c:v>
                </c:pt>
                <c:pt idx="20">
                  <c:v>9255615.5097507089</c:v>
                </c:pt>
                <c:pt idx="21">
                  <c:v>9357787.695670709</c:v>
                </c:pt>
                <c:pt idx="22">
                  <c:v>9459959.8815907091</c:v>
                </c:pt>
                <c:pt idx="23">
                  <c:v>9562132.0675107092</c:v>
                </c:pt>
                <c:pt idx="24">
                  <c:v>9664304.2534307092</c:v>
                </c:pt>
                <c:pt idx="25">
                  <c:v>9766476.4393507093</c:v>
                </c:pt>
                <c:pt idx="26">
                  <c:v>9868648.6252707094</c:v>
                </c:pt>
                <c:pt idx="27">
                  <c:v>9970820.8111907095</c:v>
                </c:pt>
                <c:pt idx="28">
                  <c:v>10072992.99711071</c:v>
                </c:pt>
                <c:pt idx="29">
                  <c:v>10175165.18303071</c:v>
                </c:pt>
                <c:pt idx="30">
                  <c:v>10277337.36895071</c:v>
                </c:pt>
                <c:pt idx="31">
                  <c:v>10379509.55487071</c:v>
                </c:pt>
                <c:pt idx="32">
                  <c:v>10481681.74079071</c:v>
                </c:pt>
                <c:pt idx="33">
                  <c:v>10583853.92671071</c:v>
                </c:pt>
                <c:pt idx="34">
                  <c:v>10686026.11263071</c:v>
                </c:pt>
                <c:pt idx="35">
                  <c:v>10788198.29855071</c:v>
                </c:pt>
                <c:pt idx="36">
                  <c:v>10890370.48447071</c:v>
                </c:pt>
                <c:pt idx="37">
                  <c:v>10992542.67039071</c:v>
                </c:pt>
                <c:pt idx="38">
                  <c:v>11094714.85631071</c:v>
                </c:pt>
                <c:pt idx="39">
                  <c:v>11196887.04223071</c:v>
                </c:pt>
                <c:pt idx="40">
                  <c:v>11299059.22815071</c:v>
                </c:pt>
                <c:pt idx="41">
                  <c:v>11401231.414070711</c:v>
                </c:pt>
                <c:pt idx="42">
                  <c:v>11503403.599990711</c:v>
                </c:pt>
                <c:pt idx="43">
                  <c:v>11605575.785910711</c:v>
                </c:pt>
                <c:pt idx="44">
                  <c:v>11707747.971830711</c:v>
                </c:pt>
                <c:pt idx="45">
                  <c:v>11809920.157750711</c:v>
                </c:pt>
                <c:pt idx="46">
                  <c:v>11912092.343670711</c:v>
                </c:pt>
                <c:pt idx="47">
                  <c:v>12014264.529590711</c:v>
                </c:pt>
                <c:pt idx="48">
                  <c:v>12116436.715510711</c:v>
                </c:pt>
                <c:pt idx="49">
                  <c:v>12218608.901430711</c:v>
                </c:pt>
                <c:pt idx="50">
                  <c:v>12320781.087350711</c:v>
                </c:pt>
                <c:pt idx="51">
                  <c:v>12422953.273270711</c:v>
                </c:pt>
                <c:pt idx="52">
                  <c:v>12525125.459190711</c:v>
                </c:pt>
                <c:pt idx="53">
                  <c:v>12627297.645110711</c:v>
                </c:pt>
                <c:pt idx="54">
                  <c:v>12729469.831030712</c:v>
                </c:pt>
                <c:pt idx="55">
                  <c:v>12831642.016950712</c:v>
                </c:pt>
                <c:pt idx="56">
                  <c:v>12933814.202870712</c:v>
                </c:pt>
                <c:pt idx="57">
                  <c:v>13035986.388790712</c:v>
                </c:pt>
                <c:pt idx="58">
                  <c:v>13138158.574710712</c:v>
                </c:pt>
                <c:pt idx="59">
                  <c:v>13240330.760630712</c:v>
                </c:pt>
                <c:pt idx="60">
                  <c:v>13342502.946550712</c:v>
                </c:pt>
                <c:pt idx="61">
                  <c:v>13444675.132470712</c:v>
                </c:pt>
                <c:pt idx="62">
                  <c:v>13546847.318390712</c:v>
                </c:pt>
                <c:pt idx="63">
                  <c:v>13649019.504310712</c:v>
                </c:pt>
                <c:pt idx="64">
                  <c:v>13751191.690230712</c:v>
                </c:pt>
                <c:pt idx="65">
                  <c:v>13853363.876150712</c:v>
                </c:pt>
                <c:pt idx="66">
                  <c:v>13955536.062070712</c:v>
                </c:pt>
                <c:pt idx="67">
                  <c:v>14057708.247990713</c:v>
                </c:pt>
                <c:pt idx="68">
                  <c:v>14159880.433910713</c:v>
                </c:pt>
                <c:pt idx="69">
                  <c:v>14262052.619830713</c:v>
                </c:pt>
                <c:pt idx="70">
                  <c:v>14364224.805750713</c:v>
                </c:pt>
                <c:pt idx="71">
                  <c:v>14466396.991670713</c:v>
                </c:pt>
                <c:pt idx="72">
                  <c:v>14568569.177590713</c:v>
                </c:pt>
                <c:pt idx="73">
                  <c:v>14670741.363510713</c:v>
                </c:pt>
                <c:pt idx="74">
                  <c:v>14772913.549430713</c:v>
                </c:pt>
                <c:pt idx="75">
                  <c:v>14875085.735350713</c:v>
                </c:pt>
                <c:pt idx="76">
                  <c:v>14977257.921270713</c:v>
                </c:pt>
                <c:pt idx="77">
                  <c:v>15079430.107190713</c:v>
                </c:pt>
                <c:pt idx="78">
                  <c:v>15181602.293110713</c:v>
                </c:pt>
                <c:pt idx="79">
                  <c:v>15283774.479030713</c:v>
                </c:pt>
                <c:pt idx="80">
                  <c:v>15385946.664950714</c:v>
                </c:pt>
                <c:pt idx="81">
                  <c:v>15488118.850870714</c:v>
                </c:pt>
                <c:pt idx="82">
                  <c:v>15590291.036790714</c:v>
                </c:pt>
                <c:pt idx="83">
                  <c:v>15692463.222710714</c:v>
                </c:pt>
                <c:pt idx="84">
                  <c:v>15794635.408630714</c:v>
                </c:pt>
                <c:pt idx="85">
                  <c:v>15896807.594550714</c:v>
                </c:pt>
                <c:pt idx="86">
                  <c:v>15998979.780470714</c:v>
                </c:pt>
                <c:pt idx="87">
                  <c:v>16101151.966390714</c:v>
                </c:pt>
                <c:pt idx="88">
                  <c:v>16203324.152310714</c:v>
                </c:pt>
                <c:pt idx="89">
                  <c:v>16305496.338230714</c:v>
                </c:pt>
                <c:pt idx="90">
                  <c:v>16407668.524150714</c:v>
                </c:pt>
                <c:pt idx="91">
                  <c:v>16509840.710070714</c:v>
                </c:pt>
                <c:pt idx="92">
                  <c:v>16612012.895990714</c:v>
                </c:pt>
                <c:pt idx="93">
                  <c:v>16714185.081910715</c:v>
                </c:pt>
                <c:pt idx="94">
                  <c:v>16816357.267830715</c:v>
                </c:pt>
                <c:pt idx="95">
                  <c:v>16918529.453750715</c:v>
                </c:pt>
                <c:pt idx="96">
                  <c:v>17020701.639670715</c:v>
                </c:pt>
                <c:pt idx="97">
                  <c:v>17122873.825590715</c:v>
                </c:pt>
                <c:pt idx="98">
                  <c:v>17225046.011510715</c:v>
                </c:pt>
                <c:pt idx="99">
                  <c:v>17327218.197430715</c:v>
                </c:pt>
                <c:pt idx="100">
                  <c:v>17429390.383350715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F7-4447-98E4-EFDD330BCE12}"/>
            </c:ext>
          </c:extLst>
        </c:ser>
        <c:ser>
          <c:idx val="4"/>
          <c:order val="4"/>
          <c:tx>
            <c:v>CT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'E-Costos'!$K$144:$K$244</c:f>
              <c:numCache>
                <c:formatCode>_(\$* #,##0.00_);_(\$* \(#,##0.00\);_(\$* \-??_);_(@_)</c:formatCode>
                <c:ptCount val="101"/>
                <c:pt idx="0">
                  <c:v>17429390.383350708</c:v>
                </c:pt>
                <c:pt idx="1">
                  <c:v>17429390.383350708</c:v>
                </c:pt>
                <c:pt idx="2">
                  <c:v>17429390.383350708</c:v>
                </c:pt>
                <c:pt idx="3">
                  <c:v>17429390.383350708</c:v>
                </c:pt>
                <c:pt idx="4">
                  <c:v>17429390.383350708</c:v>
                </c:pt>
                <c:pt idx="5">
                  <c:v>17429390.383350708</c:v>
                </c:pt>
                <c:pt idx="6">
                  <c:v>17429390.383350708</c:v>
                </c:pt>
                <c:pt idx="7">
                  <c:v>17429390.383350708</c:v>
                </c:pt>
                <c:pt idx="8">
                  <c:v>17429390.383350708</c:v>
                </c:pt>
                <c:pt idx="9">
                  <c:v>17429390.383350708</c:v>
                </c:pt>
                <c:pt idx="10">
                  <c:v>17429390.383350708</c:v>
                </c:pt>
                <c:pt idx="11">
                  <c:v>17429390.383350708</c:v>
                </c:pt>
                <c:pt idx="12">
                  <c:v>17429390.383350708</c:v>
                </c:pt>
                <c:pt idx="13">
                  <c:v>17429390.383350708</c:v>
                </c:pt>
                <c:pt idx="14">
                  <c:v>17429390.383350708</c:v>
                </c:pt>
                <c:pt idx="15">
                  <c:v>17429390.383350708</c:v>
                </c:pt>
                <c:pt idx="16">
                  <c:v>17429390.383350708</c:v>
                </c:pt>
                <c:pt idx="17">
                  <c:v>17429390.383350708</c:v>
                </c:pt>
                <c:pt idx="18">
                  <c:v>17429390.383350708</c:v>
                </c:pt>
                <c:pt idx="19">
                  <c:v>17429390.383350708</c:v>
                </c:pt>
                <c:pt idx="20">
                  <c:v>17429390.383350708</c:v>
                </c:pt>
                <c:pt idx="21">
                  <c:v>17429390.383350708</c:v>
                </c:pt>
                <c:pt idx="22">
                  <c:v>17429390.383350708</c:v>
                </c:pt>
                <c:pt idx="23">
                  <c:v>17429390.383350708</c:v>
                </c:pt>
                <c:pt idx="24">
                  <c:v>17429390.383350708</c:v>
                </c:pt>
                <c:pt idx="25">
                  <c:v>17429390.383350708</c:v>
                </c:pt>
                <c:pt idx="26">
                  <c:v>17429390.383350708</c:v>
                </c:pt>
                <c:pt idx="27">
                  <c:v>17429390.383350708</c:v>
                </c:pt>
                <c:pt idx="28">
                  <c:v>17429390.383350708</c:v>
                </c:pt>
                <c:pt idx="29">
                  <c:v>17429390.383350708</c:v>
                </c:pt>
                <c:pt idx="30">
                  <c:v>17429390.383350708</c:v>
                </c:pt>
                <c:pt idx="31">
                  <c:v>17429390.383350708</c:v>
                </c:pt>
                <c:pt idx="32">
                  <c:v>17429390.383350708</c:v>
                </c:pt>
                <c:pt idx="33">
                  <c:v>17429390.383350708</c:v>
                </c:pt>
                <c:pt idx="34">
                  <c:v>17429390.383350708</c:v>
                </c:pt>
                <c:pt idx="35">
                  <c:v>17429390.383350708</c:v>
                </c:pt>
                <c:pt idx="36">
                  <c:v>17429390.383350708</c:v>
                </c:pt>
                <c:pt idx="37">
                  <c:v>17429390.383350708</c:v>
                </c:pt>
                <c:pt idx="38">
                  <c:v>17429390.383350708</c:v>
                </c:pt>
                <c:pt idx="39">
                  <c:v>17429390.383350708</c:v>
                </c:pt>
                <c:pt idx="40">
                  <c:v>17429390.383350708</c:v>
                </c:pt>
                <c:pt idx="41">
                  <c:v>17429390.383350708</c:v>
                </c:pt>
                <c:pt idx="42">
                  <c:v>17429390.383350708</c:v>
                </c:pt>
                <c:pt idx="43">
                  <c:v>17429390.383350708</c:v>
                </c:pt>
                <c:pt idx="44">
                  <c:v>17429390.383350708</c:v>
                </c:pt>
                <c:pt idx="45">
                  <c:v>17429390.383350708</c:v>
                </c:pt>
                <c:pt idx="46">
                  <c:v>17429390.383350708</c:v>
                </c:pt>
                <c:pt idx="47">
                  <c:v>17429390.383350708</c:v>
                </c:pt>
                <c:pt idx="48">
                  <c:v>17429390.383350708</c:v>
                </c:pt>
                <c:pt idx="49">
                  <c:v>17429390.383350708</c:v>
                </c:pt>
                <c:pt idx="50">
                  <c:v>17429390.383350708</c:v>
                </c:pt>
                <c:pt idx="51">
                  <c:v>17429390.383350708</c:v>
                </c:pt>
                <c:pt idx="52">
                  <c:v>17429390.383350708</c:v>
                </c:pt>
                <c:pt idx="53">
                  <c:v>17429390.383350708</c:v>
                </c:pt>
                <c:pt idx="54">
                  <c:v>17429390.383350708</c:v>
                </c:pt>
                <c:pt idx="55">
                  <c:v>17429390.383350708</c:v>
                </c:pt>
                <c:pt idx="56">
                  <c:v>17429390.383350708</c:v>
                </c:pt>
                <c:pt idx="57">
                  <c:v>17429390.383350708</c:v>
                </c:pt>
                <c:pt idx="58">
                  <c:v>17429390.383350708</c:v>
                </c:pt>
                <c:pt idx="59">
                  <c:v>17429390.383350708</c:v>
                </c:pt>
                <c:pt idx="60">
                  <c:v>17429390.383350708</c:v>
                </c:pt>
                <c:pt idx="61">
                  <c:v>17429390.383350708</c:v>
                </c:pt>
                <c:pt idx="62">
                  <c:v>17429390.383350708</c:v>
                </c:pt>
                <c:pt idx="63">
                  <c:v>17429390.383350708</c:v>
                </c:pt>
                <c:pt idx="64">
                  <c:v>17429390.383350708</c:v>
                </c:pt>
                <c:pt idx="65">
                  <c:v>17429390.383350708</c:v>
                </c:pt>
                <c:pt idx="66">
                  <c:v>17429390.383350708</c:v>
                </c:pt>
                <c:pt idx="67">
                  <c:v>17429390.383350708</c:v>
                </c:pt>
                <c:pt idx="68">
                  <c:v>17429390.383350708</c:v>
                </c:pt>
                <c:pt idx="69">
                  <c:v>17429390.383350708</c:v>
                </c:pt>
                <c:pt idx="70">
                  <c:v>17429390.383350708</c:v>
                </c:pt>
                <c:pt idx="71">
                  <c:v>17429390.383350708</c:v>
                </c:pt>
                <c:pt idx="72">
                  <c:v>17429390.383350708</c:v>
                </c:pt>
                <c:pt idx="73">
                  <c:v>17429390.383350708</c:v>
                </c:pt>
                <c:pt idx="74">
                  <c:v>17429390.383350708</c:v>
                </c:pt>
                <c:pt idx="75">
                  <c:v>17429390.383350708</c:v>
                </c:pt>
                <c:pt idx="76">
                  <c:v>17429390.383350708</c:v>
                </c:pt>
                <c:pt idx="77">
                  <c:v>17429390.383350708</c:v>
                </c:pt>
                <c:pt idx="78">
                  <c:v>17429390.383350708</c:v>
                </c:pt>
                <c:pt idx="79">
                  <c:v>17429390.383350708</c:v>
                </c:pt>
                <c:pt idx="80">
                  <c:v>17429390.383350708</c:v>
                </c:pt>
                <c:pt idx="81">
                  <c:v>17429390.383350708</c:v>
                </c:pt>
                <c:pt idx="82">
                  <c:v>17429390.383350708</c:v>
                </c:pt>
                <c:pt idx="83">
                  <c:v>17429390.383350708</c:v>
                </c:pt>
                <c:pt idx="84">
                  <c:v>17429390.383350708</c:v>
                </c:pt>
                <c:pt idx="85">
                  <c:v>17429390.383350708</c:v>
                </c:pt>
                <c:pt idx="86">
                  <c:v>17429390.383350708</c:v>
                </c:pt>
                <c:pt idx="87">
                  <c:v>17429390.383350708</c:v>
                </c:pt>
                <c:pt idx="88">
                  <c:v>17429390.383350708</c:v>
                </c:pt>
                <c:pt idx="89">
                  <c:v>17429390.383350708</c:v>
                </c:pt>
                <c:pt idx="90">
                  <c:v>17429390.383350708</c:v>
                </c:pt>
                <c:pt idx="91">
                  <c:v>17429390.383350708</c:v>
                </c:pt>
                <c:pt idx="92">
                  <c:v>17429390.383350708</c:v>
                </c:pt>
                <c:pt idx="93">
                  <c:v>17429390.383350708</c:v>
                </c:pt>
                <c:pt idx="94">
                  <c:v>17429390.383350708</c:v>
                </c:pt>
                <c:pt idx="95">
                  <c:v>17429390.383350708</c:v>
                </c:pt>
                <c:pt idx="96">
                  <c:v>17429390.383350708</c:v>
                </c:pt>
                <c:pt idx="97">
                  <c:v>17429390.383350708</c:v>
                </c:pt>
                <c:pt idx="98">
                  <c:v>17429390.383350708</c:v>
                </c:pt>
                <c:pt idx="99">
                  <c:v>17429390.383350708</c:v>
                </c:pt>
                <c:pt idx="100">
                  <c:v>17429390.383350708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F7-4447-98E4-EFDD330BCE12}"/>
            </c:ext>
          </c:extLst>
        </c:ser>
        <c:ser>
          <c:idx val="8"/>
          <c:order val="5"/>
          <c:tx>
            <c:v>Ventas Año 1</c:v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'E-Costos'!$B$144:$B$244</c:f>
              <c:numCache>
                <c:formatCode>_(\$* #,##0.00_);_(\$* \(#,##0.00\);_(\$* \-??_);_(@_)</c:formatCode>
                <c:ptCount val="101"/>
                <c:pt idx="0">
                  <c:v>25937500</c:v>
                </c:pt>
                <c:pt idx="1">
                  <c:v>25937500</c:v>
                </c:pt>
                <c:pt idx="2">
                  <c:v>25937500</c:v>
                </c:pt>
                <c:pt idx="3">
                  <c:v>25937500</c:v>
                </c:pt>
                <c:pt idx="4">
                  <c:v>25937500</c:v>
                </c:pt>
                <c:pt idx="5">
                  <c:v>25937500</c:v>
                </c:pt>
                <c:pt idx="6">
                  <c:v>25937500</c:v>
                </c:pt>
                <c:pt idx="7">
                  <c:v>25937500</c:v>
                </c:pt>
                <c:pt idx="8">
                  <c:v>25937500</c:v>
                </c:pt>
                <c:pt idx="9">
                  <c:v>25937500</c:v>
                </c:pt>
                <c:pt idx="10">
                  <c:v>25937500</c:v>
                </c:pt>
                <c:pt idx="11">
                  <c:v>25937500</c:v>
                </c:pt>
                <c:pt idx="12">
                  <c:v>25937500</c:v>
                </c:pt>
                <c:pt idx="13">
                  <c:v>25937500</c:v>
                </c:pt>
                <c:pt idx="14">
                  <c:v>25937500</c:v>
                </c:pt>
                <c:pt idx="15">
                  <c:v>25937500</c:v>
                </c:pt>
                <c:pt idx="16">
                  <c:v>25937500</c:v>
                </c:pt>
                <c:pt idx="17">
                  <c:v>25937500</c:v>
                </c:pt>
                <c:pt idx="18">
                  <c:v>25937500</c:v>
                </c:pt>
                <c:pt idx="19">
                  <c:v>25937500</c:v>
                </c:pt>
                <c:pt idx="20">
                  <c:v>25937500</c:v>
                </c:pt>
                <c:pt idx="21">
                  <c:v>25937500</c:v>
                </c:pt>
                <c:pt idx="22">
                  <c:v>25937500</c:v>
                </c:pt>
                <c:pt idx="23">
                  <c:v>25937500</c:v>
                </c:pt>
                <c:pt idx="24">
                  <c:v>25937500</c:v>
                </c:pt>
                <c:pt idx="25">
                  <c:v>25937500</c:v>
                </c:pt>
                <c:pt idx="26">
                  <c:v>25937500</c:v>
                </c:pt>
                <c:pt idx="27">
                  <c:v>25937500</c:v>
                </c:pt>
                <c:pt idx="28">
                  <c:v>25937500</c:v>
                </c:pt>
                <c:pt idx="29">
                  <c:v>25937500</c:v>
                </c:pt>
                <c:pt idx="30">
                  <c:v>25937500</c:v>
                </c:pt>
                <c:pt idx="31">
                  <c:v>25937500</c:v>
                </c:pt>
                <c:pt idx="32">
                  <c:v>25937500</c:v>
                </c:pt>
                <c:pt idx="33">
                  <c:v>25937500</c:v>
                </c:pt>
                <c:pt idx="34">
                  <c:v>25937500</c:v>
                </c:pt>
                <c:pt idx="35">
                  <c:v>25937500</c:v>
                </c:pt>
                <c:pt idx="36">
                  <c:v>25937500</c:v>
                </c:pt>
                <c:pt idx="37">
                  <c:v>25937500</c:v>
                </c:pt>
                <c:pt idx="38">
                  <c:v>25937500</c:v>
                </c:pt>
                <c:pt idx="39">
                  <c:v>25937500</c:v>
                </c:pt>
                <c:pt idx="40">
                  <c:v>25937500</c:v>
                </c:pt>
                <c:pt idx="41">
                  <c:v>25937500</c:v>
                </c:pt>
                <c:pt idx="42">
                  <c:v>25937500</c:v>
                </c:pt>
                <c:pt idx="43">
                  <c:v>25937500</c:v>
                </c:pt>
                <c:pt idx="44">
                  <c:v>25937500</c:v>
                </c:pt>
                <c:pt idx="45">
                  <c:v>25937500</c:v>
                </c:pt>
                <c:pt idx="46">
                  <c:v>25937500</c:v>
                </c:pt>
                <c:pt idx="47">
                  <c:v>25937500</c:v>
                </c:pt>
                <c:pt idx="48">
                  <c:v>25937500</c:v>
                </c:pt>
                <c:pt idx="49">
                  <c:v>25937500</c:v>
                </c:pt>
                <c:pt idx="50">
                  <c:v>25937500</c:v>
                </c:pt>
                <c:pt idx="51">
                  <c:v>25937500</c:v>
                </c:pt>
                <c:pt idx="52">
                  <c:v>25937500</c:v>
                </c:pt>
                <c:pt idx="53">
                  <c:v>25937500</c:v>
                </c:pt>
                <c:pt idx="54">
                  <c:v>25937500</c:v>
                </c:pt>
                <c:pt idx="55">
                  <c:v>25937500</c:v>
                </c:pt>
                <c:pt idx="56">
                  <c:v>25937500</c:v>
                </c:pt>
                <c:pt idx="57">
                  <c:v>25937500</c:v>
                </c:pt>
                <c:pt idx="58">
                  <c:v>25937500</c:v>
                </c:pt>
                <c:pt idx="59">
                  <c:v>25937500</c:v>
                </c:pt>
                <c:pt idx="60">
                  <c:v>25937500</c:v>
                </c:pt>
                <c:pt idx="61">
                  <c:v>25937500</c:v>
                </c:pt>
                <c:pt idx="62">
                  <c:v>25937500</c:v>
                </c:pt>
                <c:pt idx="63">
                  <c:v>25937500</c:v>
                </c:pt>
                <c:pt idx="64">
                  <c:v>25937500</c:v>
                </c:pt>
                <c:pt idx="65">
                  <c:v>25937500</c:v>
                </c:pt>
                <c:pt idx="66">
                  <c:v>25937500</c:v>
                </c:pt>
                <c:pt idx="67">
                  <c:v>25937500</c:v>
                </c:pt>
                <c:pt idx="68">
                  <c:v>25937500</c:v>
                </c:pt>
                <c:pt idx="69">
                  <c:v>25937500</c:v>
                </c:pt>
                <c:pt idx="70">
                  <c:v>25937500</c:v>
                </c:pt>
                <c:pt idx="71">
                  <c:v>25937500</c:v>
                </c:pt>
                <c:pt idx="72">
                  <c:v>25937500</c:v>
                </c:pt>
                <c:pt idx="73">
                  <c:v>25937500</c:v>
                </c:pt>
                <c:pt idx="74">
                  <c:v>25937500</c:v>
                </c:pt>
                <c:pt idx="75">
                  <c:v>25937500</c:v>
                </c:pt>
                <c:pt idx="76">
                  <c:v>25937500</c:v>
                </c:pt>
                <c:pt idx="77">
                  <c:v>25937500</c:v>
                </c:pt>
                <c:pt idx="78">
                  <c:v>25937500</c:v>
                </c:pt>
                <c:pt idx="79">
                  <c:v>25937500</c:v>
                </c:pt>
                <c:pt idx="80">
                  <c:v>25937500</c:v>
                </c:pt>
                <c:pt idx="81">
                  <c:v>25937500</c:v>
                </c:pt>
                <c:pt idx="82">
                  <c:v>25937500</c:v>
                </c:pt>
                <c:pt idx="83">
                  <c:v>25937500</c:v>
                </c:pt>
                <c:pt idx="84">
                  <c:v>25937500</c:v>
                </c:pt>
                <c:pt idx="85">
                  <c:v>25937500</c:v>
                </c:pt>
                <c:pt idx="86">
                  <c:v>25937500</c:v>
                </c:pt>
                <c:pt idx="87">
                  <c:v>25937500</c:v>
                </c:pt>
                <c:pt idx="88">
                  <c:v>25937500</c:v>
                </c:pt>
                <c:pt idx="89">
                  <c:v>25937500</c:v>
                </c:pt>
                <c:pt idx="90">
                  <c:v>25937500</c:v>
                </c:pt>
                <c:pt idx="91">
                  <c:v>25937500</c:v>
                </c:pt>
                <c:pt idx="92">
                  <c:v>25937500</c:v>
                </c:pt>
                <c:pt idx="93">
                  <c:v>25937500</c:v>
                </c:pt>
                <c:pt idx="94">
                  <c:v>25937500</c:v>
                </c:pt>
                <c:pt idx="95">
                  <c:v>25937500</c:v>
                </c:pt>
                <c:pt idx="96">
                  <c:v>25937500</c:v>
                </c:pt>
                <c:pt idx="97">
                  <c:v>25937500</c:v>
                </c:pt>
                <c:pt idx="98">
                  <c:v>25937500</c:v>
                </c:pt>
                <c:pt idx="99">
                  <c:v>25937500</c:v>
                </c:pt>
                <c:pt idx="100">
                  <c:v>25937500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8F7-4447-98E4-EFDD330BCE12}"/>
            </c:ext>
          </c:extLst>
        </c:ser>
        <c:ser>
          <c:idx val="5"/>
          <c:order val="6"/>
          <c:tx>
            <c:v>CFT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'E-Costos'!$C$144:$C$244</c:f>
              <c:numCache>
                <c:formatCode>_(\$* #,##0.00_);_(\$* \(#,##0.00\);_(\$* \-??_);_(@_)</c:formatCode>
                <c:ptCount val="101"/>
                <c:pt idx="0">
                  <c:v>6688326.6882919893</c:v>
                </c:pt>
                <c:pt idx="1">
                  <c:v>6688326.6882919893</c:v>
                </c:pt>
                <c:pt idx="2">
                  <c:v>6688326.6882919893</c:v>
                </c:pt>
                <c:pt idx="3">
                  <c:v>6688326.6882919893</c:v>
                </c:pt>
                <c:pt idx="4">
                  <c:v>6688326.6882919893</c:v>
                </c:pt>
                <c:pt idx="5">
                  <c:v>6688326.6882919893</c:v>
                </c:pt>
                <c:pt idx="6">
                  <c:v>6688326.6882919893</c:v>
                </c:pt>
                <c:pt idx="7">
                  <c:v>6688326.6882919893</c:v>
                </c:pt>
                <c:pt idx="8">
                  <c:v>6688326.6882919893</c:v>
                </c:pt>
                <c:pt idx="9">
                  <c:v>6688326.6882919893</c:v>
                </c:pt>
                <c:pt idx="10">
                  <c:v>6688326.6882919893</c:v>
                </c:pt>
                <c:pt idx="11">
                  <c:v>6688326.6882919893</c:v>
                </c:pt>
                <c:pt idx="12">
                  <c:v>6688326.6882919893</c:v>
                </c:pt>
                <c:pt idx="13">
                  <c:v>6688326.6882919893</c:v>
                </c:pt>
                <c:pt idx="14">
                  <c:v>6688326.6882919893</c:v>
                </c:pt>
                <c:pt idx="15">
                  <c:v>6688326.6882919893</c:v>
                </c:pt>
                <c:pt idx="16">
                  <c:v>6688326.6882919893</c:v>
                </c:pt>
                <c:pt idx="17">
                  <c:v>6688326.6882919893</c:v>
                </c:pt>
                <c:pt idx="18">
                  <c:v>6688326.6882919893</c:v>
                </c:pt>
                <c:pt idx="19">
                  <c:v>6688326.6882919893</c:v>
                </c:pt>
                <c:pt idx="20">
                  <c:v>6688326.6882919893</c:v>
                </c:pt>
                <c:pt idx="21">
                  <c:v>6688326.6882919893</c:v>
                </c:pt>
                <c:pt idx="22">
                  <c:v>6688326.6882919893</c:v>
                </c:pt>
                <c:pt idx="23">
                  <c:v>6688326.6882919893</c:v>
                </c:pt>
                <c:pt idx="24">
                  <c:v>6688326.6882919893</c:v>
                </c:pt>
                <c:pt idx="25">
                  <c:v>6688326.6882919893</c:v>
                </c:pt>
                <c:pt idx="26">
                  <c:v>6688326.6882919893</c:v>
                </c:pt>
                <c:pt idx="27">
                  <c:v>6688326.6882919893</c:v>
                </c:pt>
                <c:pt idx="28">
                  <c:v>6688326.6882919893</c:v>
                </c:pt>
                <c:pt idx="29">
                  <c:v>6688326.6882919893</c:v>
                </c:pt>
                <c:pt idx="30">
                  <c:v>6688326.6882919893</c:v>
                </c:pt>
                <c:pt idx="31">
                  <c:v>6688326.6882919893</c:v>
                </c:pt>
                <c:pt idx="32">
                  <c:v>6688326.6882919893</c:v>
                </c:pt>
                <c:pt idx="33">
                  <c:v>6688326.6882919893</c:v>
                </c:pt>
                <c:pt idx="34">
                  <c:v>6688326.6882919893</c:v>
                </c:pt>
                <c:pt idx="35">
                  <c:v>6688326.6882919893</c:v>
                </c:pt>
                <c:pt idx="36">
                  <c:v>6688326.6882919893</c:v>
                </c:pt>
                <c:pt idx="37">
                  <c:v>6688326.6882919893</c:v>
                </c:pt>
                <c:pt idx="38">
                  <c:v>6688326.6882919893</c:v>
                </c:pt>
                <c:pt idx="39">
                  <c:v>6688326.6882919893</c:v>
                </c:pt>
                <c:pt idx="40">
                  <c:v>6688326.6882919893</c:v>
                </c:pt>
                <c:pt idx="41">
                  <c:v>6688326.6882919893</c:v>
                </c:pt>
                <c:pt idx="42">
                  <c:v>6688326.6882919893</c:v>
                </c:pt>
                <c:pt idx="43">
                  <c:v>6688326.6882919893</c:v>
                </c:pt>
                <c:pt idx="44">
                  <c:v>6688326.6882919893</c:v>
                </c:pt>
                <c:pt idx="45">
                  <c:v>6688326.6882919893</c:v>
                </c:pt>
                <c:pt idx="46">
                  <c:v>6688326.6882919893</c:v>
                </c:pt>
                <c:pt idx="47">
                  <c:v>6688326.6882919893</c:v>
                </c:pt>
                <c:pt idx="48">
                  <c:v>6688326.6882919893</c:v>
                </c:pt>
                <c:pt idx="49">
                  <c:v>6688326.6882919893</c:v>
                </c:pt>
                <c:pt idx="50">
                  <c:v>6688326.6882919893</c:v>
                </c:pt>
                <c:pt idx="51">
                  <c:v>6688326.6882919893</c:v>
                </c:pt>
                <c:pt idx="52">
                  <c:v>6688326.6882919893</c:v>
                </c:pt>
                <c:pt idx="53">
                  <c:v>6688326.6882919893</c:v>
                </c:pt>
                <c:pt idx="54">
                  <c:v>6688326.6882919893</c:v>
                </c:pt>
                <c:pt idx="55">
                  <c:v>6688326.6882919893</c:v>
                </c:pt>
                <c:pt idx="56">
                  <c:v>6688326.6882919893</c:v>
                </c:pt>
                <c:pt idx="57">
                  <c:v>6688326.6882919893</c:v>
                </c:pt>
                <c:pt idx="58">
                  <c:v>6688326.6882919893</c:v>
                </c:pt>
                <c:pt idx="59">
                  <c:v>6688326.6882919893</c:v>
                </c:pt>
                <c:pt idx="60">
                  <c:v>6688326.6882919893</c:v>
                </c:pt>
                <c:pt idx="61">
                  <c:v>6688326.6882919893</c:v>
                </c:pt>
                <c:pt idx="62">
                  <c:v>6688326.6882919893</c:v>
                </c:pt>
                <c:pt idx="63">
                  <c:v>6688326.6882919893</c:v>
                </c:pt>
                <c:pt idx="64">
                  <c:v>6688326.6882919893</c:v>
                </c:pt>
                <c:pt idx="65">
                  <c:v>6688326.6882919893</c:v>
                </c:pt>
                <c:pt idx="66">
                  <c:v>6688326.6882919893</c:v>
                </c:pt>
                <c:pt idx="67">
                  <c:v>6688326.6882919893</c:v>
                </c:pt>
                <c:pt idx="68">
                  <c:v>6688326.6882919893</c:v>
                </c:pt>
                <c:pt idx="69">
                  <c:v>6688326.6882919893</c:v>
                </c:pt>
                <c:pt idx="70">
                  <c:v>6688326.6882919893</c:v>
                </c:pt>
                <c:pt idx="71">
                  <c:v>6688326.6882919893</c:v>
                </c:pt>
                <c:pt idx="72">
                  <c:v>6688326.6882919893</c:v>
                </c:pt>
                <c:pt idx="73">
                  <c:v>6688326.6882919893</c:v>
                </c:pt>
                <c:pt idx="74">
                  <c:v>6688326.6882919893</c:v>
                </c:pt>
                <c:pt idx="75">
                  <c:v>6688326.6882919893</c:v>
                </c:pt>
                <c:pt idx="76">
                  <c:v>6688326.6882919893</c:v>
                </c:pt>
                <c:pt idx="77">
                  <c:v>6688326.6882919893</c:v>
                </c:pt>
                <c:pt idx="78">
                  <c:v>6688326.6882919893</c:v>
                </c:pt>
                <c:pt idx="79">
                  <c:v>6688326.6882919893</c:v>
                </c:pt>
                <c:pt idx="80">
                  <c:v>6688326.6882919893</c:v>
                </c:pt>
                <c:pt idx="81">
                  <c:v>6688326.6882919893</c:v>
                </c:pt>
                <c:pt idx="82">
                  <c:v>6688326.6882919893</c:v>
                </c:pt>
                <c:pt idx="83">
                  <c:v>6688326.6882919893</c:v>
                </c:pt>
                <c:pt idx="84">
                  <c:v>6688326.6882919893</c:v>
                </c:pt>
                <c:pt idx="85">
                  <c:v>6688326.6882919893</c:v>
                </c:pt>
                <c:pt idx="86">
                  <c:v>6688326.6882919893</c:v>
                </c:pt>
                <c:pt idx="87">
                  <c:v>6688326.6882919893</c:v>
                </c:pt>
                <c:pt idx="88">
                  <c:v>6688326.6882919893</c:v>
                </c:pt>
                <c:pt idx="89">
                  <c:v>6688326.6882919893</c:v>
                </c:pt>
                <c:pt idx="90">
                  <c:v>6688326.6882919893</c:v>
                </c:pt>
                <c:pt idx="91">
                  <c:v>6688326.6882919893</c:v>
                </c:pt>
                <c:pt idx="92">
                  <c:v>6688326.6882919893</c:v>
                </c:pt>
                <c:pt idx="93">
                  <c:v>6688326.6882919893</c:v>
                </c:pt>
                <c:pt idx="94">
                  <c:v>6688326.6882919893</c:v>
                </c:pt>
                <c:pt idx="95">
                  <c:v>6688326.6882919893</c:v>
                </c:pt>
                <c:pt idx="96">
                  <c:v>6688326.6882919893</c:v>
                </c:pt>
                <c:pt idx="97">
                  <c:v>6688326.6882919893</c:v>
                </c:pt>
                <c:pt idx="98">
                  <c:v>6688326.6882919893</c:v>
                </c:pt>
                <c:pt idx="99">
                  <c:v>6688326.6882919893</c:v>
                </c:pt>
                <c:pt idx="100">
                  <c:v>6688326.6882919893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F7-4447-98E4-EFDD330BCE12}"/>
            </c:ext>
          </c:extLst>
        </c:ser>
        <c:ser>
          <c:idx val="6"/>
          <c:order val="7"/>
          <c:tx>
            <c:v>CV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'E-Costos'!$F$144:$F$244</c:f>
              <c:numCache>
                <c:formatCode>_ "$"\ * #,##0.00_ ;_ "$"\ * \-#,##0.00_ ;_ "$"\ * "-"??_ ;_ @_ </c:formatCode>
                <c:ptCount val="101"/>
                <c:pt idx="0" formatCode="_-&quot;$&quot;* #,##0.00_-;\-&quot;$&quot;* #,##0.00_-;_-&quot;$&quot;* &quot;-&quot;??_-;_-@_-">
                  <c:v>6688326.6882919893</c:v>
                </c:pt>
                <c:pt idx="1">
                  <c:v>6780594.1835695896</c:v>
                </c:pt>
                <c:pt idx="2">
                  <c:v>6872861.67884719</c:v>
                </c:pt>
                <c:pt idx="3">
                  <c:v>6965129.1741247904</c:v>
                </c:pt>
                <c:pt idx="4">
                  <c:v>7057396.6694023907</c:v>
                </c:pt>
                <c:pt idx="5">
                  <c:v>7149664.1646799911</c:v>
                </c:pt>
                <c:pt idx="6">
                  <c:v>7241931.6599575914</c:v>
                </c:pt>
                <c:pt idx="7">
                  <c:v>7334199.1552351918</c:v>
                </c:pt>
                <c:pt idx="8">
                  <c:v>7426466.6505127922</c:v>
                </c:pt>
                <c:pt idx="9">
                  <c:v>7518734.1457903925</c:v>
                </c:pt>
                <c:pt idx="10">
                  <c:v>7611001.6410679929</c:v>
                </c:pt>
                <c:pt idx="11">
                  <c:v>7703269.1363455933</c:v>
                </c:pt>
                <c:pt idx="12">
                  <c:v>7795536.6316231936</c:v>
                </c:pt>
                <c:pt idx="13">
                  <c:v>7887804.126900794</c:v>
                </c:pt>
                <c:pt idx="14">
                  <c:v>7980071.6221783943</c:v>
                </c:pt>
                <c:pt idx="15">
                  <c:v>8072339.1174559947</c:v>
                </c:pt>
                <c:pt idx="16">
                  <c:v>8164606.6127335951</c:v>
                </c:pt>
                <c:pt idx="17">
                  <c:v>8256874.1080111954</c:v>
                </c:pt>
                <c:pt idx="18">
                  <c:v>8349141.6032887958</c:v>
                </c:pt>
                <c:pt idx="19">
                  <c:v>8441409.0985663962</c:v>
                </c:pt>
                <c:pt idx="20">
                  <c:v>8533676.5938439965</c:v>
                </c:pt>
                <c:pt idx="21">
                  <c:v>8625944.0891215969</c:v>
                </c:pt>
                <c:pt idx="22">
                  <c:v>8718211.5843991973</c:v>
                </c:pt>
                <c:pt idx="23">
                  <c:v>8810479.0796767976</c:v>
                </c:pt>
                <c:pt idx="24">
                  <c:v>8902746.574954398</c:v>
                </c:pt>
                <c:pt idx="25">
                  <c:v>8995014.0702319983</c:v>
                </c:pt>
                <c:pt idx="26">
                  <c:v>9087281.5655095987</c:v>
                </c:pt>
                <c:pt idx="27">
                  <c:v>9179549.0607871991</c:v>
                </c:pt>
                <c:pt idx="28">
                  <c:v>9271816.5560647994</c:v>
                </c:pt>
                <c:pt idx="29">
                  <c:v>9364084.0513423998</c:v>
                </c:pt>
                <c:pt idx="30">
                  <c:v>9456351.5466200002</c:v>
                </c:pt>
                <c:pt idx="31">
                  <c:v>9548619.0418976005</c:v>
                </c:pt>
                <c:pt idx="32">
                  <c:v>9640886.5371752009</c:v>
                </c:pt>
                <c:pt idx="33">
                  <c:v>9733154.0324528012</c:v>
                </c:pt>
                <c:pt idx="34">
                  <c:v>9825421.5277304016</c:v>
                </c:pt>
                <c:pt idx="35">
                  <c:v>9917689.023008002</c:v>
                </c:pt>
                <c:pt idx="36">
                  <c:v>10009956.518285602</c:v>
                </c:pt>
                <c:pt idx="37">
                  <c:v>10102224.013563203</c:v>
                </c:pt>
                <c:pt idx="38">
                  <c:v>10194491.508840803</c:v>
                </c:pt>
                <c:pt idx="39">
                  <c:v>10286759.004118403</c:v>
                </c:pt>
                <c:pt idx="40">
                  <c:v>10379026.499396004</c:v>
                </c:pt>
                <c:pt idx="41">
                  <c:v>10471293.994673604</c:v>
                </c:pt>
                <c:pt idx="42">
                  <c:v>10563561.489951205</c:v>
                </c:pt>
                <c:pt idx="43">
                  <c:v>10655828.985228805</c:v>
                </c:pt>
                <c:pt idx="44">
                  <c:v>10748096.480506405</c:v>
                </c:pt>
                <c:pt idx="45">
                  <c:v>10840363.975784006</c:v>
                </c:pt>
                <c:pt idx="46">
                  <c:v>10932631.471061606</c:v>
                </c:pt>
                <c:pt idx="47">
                  <c:v>11024898.966339206</c:v>
                </c:pt>
                <c:pt idx="48">
                  <c:v>11117166.461616807</c:v>
                </c:pt>
                <c:pt idx="49">
                  <c:v>11209433.956894407</c:v>
                </c:pt>
                <c:pt idx="50">
                  <c:v>11301701.452172007</c:v>
                </c:pt>
                <c:pt idx="51">
                  <c:v>11393968.947449608</c:v>
                </c:pt>
                <c:pt idx="52">
                  <c:v>11486236.442727208</c:v>
                </c:pt>
                <c:pt idx="53">
                  <c:v>11578503.938004809</c:v>
                </c:pt>
                <c:pt idx="54">
                  <c:v>11670771.433282409</c:v>
                </c:pt>
                <c:pt idx="55">
                  <c:v>11763038.928560009</c:v>
                </c:pt>
                <c:pt idx="56">
                  <c:v>11855306.42383761</c:v>
                </c:pt>
                <c:pt idx="57">
                  <c:v>11947573.91911521</c:v>
                </c:pt>
                <c:pt idx="58">
                  <c:v>12039841.41439281</c:v>
                </c:pt>
                <c:pt idx="59">
                  <c:v>12132108.909670411</c:v>
                </c:pt>
                <c:pt idx="60">
                  <c:v>12224376.404948011</c:v>
                </c:pt>
                <c:pt idx="61">
                  <c:v>12316643.900225611</c:v>
                </c:pt>
                <c:pt idx="62">
                  <c:v>12408911.395503212</c:v>
                </c:pt>
                <c:pt idx="63">
                  <c:v>12501178.890780812</c:v>
                </c:pt>
                <c:pt idx="64">
                  <c:v>12593446.386058412</c:v>
                </c:pt>
                <c:pt idx="65">
                  <c:v>12685713.881336013</c:v>
                </c:pt>
                <c:pt idx="66">
                  <c:v>12777981.376613613</c:v>
                </c:pt>
                <c:pt idx="67">
                  <c:v>12870248.871891214</c:v>
                </c:pt>
                <c:pt idx="68">
                  <c:v>12962516.367168814</c:v>
                </c:pt>
                <c:pt idx="69">
                  <c:v>13054783.862446414</c:v>
                </c:pt>
                <c:pt idx="70">
                  <c:v>13147051.357724015</c:v>
                </c:pt>
                <c:pt idx="71">
                  <c:v>13239318.853001615</c:v>
                </c:pt>
                <c:pt idx="72">
                  <c:v>13331586.348279215</c:v>
                </c:pt>
                <c:pt idx="73">
                  <c:v>13423853.843556816</c:v>
                </c:pt>
                <c:pt idx="74">
                  <c:v>13516121.338834416</c:v>
                </c:pt>
                <c:pt idx="75">
                  <c:v>13608388.834112016</c:v>
                </c:pt>
                <c:pt idx="76">
                  <c:v>13700656.329389617</c:v>
                </c:pt>
                <c:pt idx="77">
                  <c:v>13792923.824667217</c:v>
                </c:pt>
                <c:pt idx="78">
                  <c:v>13885191.319944818</c:v>
                </c:pt>
                <c:pt idx="79">
                  <c:v>13977458.815222418</c:v>
                </c:pt>
                <c:pt idx="80">
                  <c:v>14069726.310500018</c:v>
                </c:pt>
                <c:pt idx="81">
                  <c:v>14161993.805777619</c:v>
                </c:pt>
                <c:pt idx="82">
                  <c:v>14254261.301055219</c:v>
                </c:pt>
                <c:pt idx="83">
                  <c:v>14346528.796332819</c:v>
                </c:pt>
                <c:pt idx="84">
                  <c:v>14438796.29161042</c:v>
                </c:pt>
                <c:pt idx="85">
                  <c:v>14531063.78688802</c:v>
                </c:pt>
                <c:pt idx="86">
                  <c:v>14623331.28216562</c:v>
                </c:pt>
                <c:pt idx="87">
                  <c:v>14715598.777443221</c:v>
                </c:pt>
                <c:pt idx="88">
                  <c:v>14807866.272720821</c:v>
                </c:pt>
                <c:pt idx="89">
                  <c:v>14900133.767998422</c:v>
                </c:pt>
                <c:pt idx="90">
                  <c:v>14992401.263276022</c:v>
                </c:pt>
                <c:pt idx="91">
                  <c:v>15084668.758553622</c:v>
                </c:pt>
                <c:pt idx="92">
                  <c:v>15176936.253831223</c:v>
                </c:pt>
                <c:pt idx="93">
                  <c:v>15269203.749108823</c:v>
                </c:pt>
                <c:pt idx="94">
                  <c:v>15361471.244386423</c:v>
                </c:pt>
                <c:pt idx="95">
                  <c:v>15453738.739664024</c:v>
                </c:pt>
                <c:pt idx="96">
                  <c:v>15546006.234941624</c:v>
                </c:pt>
                <c:pt idx="97">
                  <c:v>15638273.730219224</c:v>
                </c:pt>
                <c:pt idx="98">
                  <c:v>15730541.225496825</c:v>
                </c:pt>
                <c:pt idx="99">
                  <c:v>15822808.720774425</c:v>
                </c:pt>
                <c:pt idx="100">
                  <c:v>15915076.216052026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8F7-4447-98E4-EFDD330BCE12}"/>
            </c:ext>
          </c:extLst>
        </c:ser>
        <c:ser>
          <c:idx val="7"/>
          <c:order val="8"/>
          <c:tx>
            <c:v>CT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'E-Costos'!$E$144:$E$244</c:f>
              <c:numCache>
                <c:formatCode>_(\$* #,##0.00_);_(\$* \(#,##0.00\);_(\$* \-??_);_(@_)</c:formatCode>
                <c:ptCount val="101"/>
                <c:pt idx="0">
                  <c:v>15915076.21605199</c:v>
                </c:pt>
                <c:pt idx="1">
                  <c:v>15915076.21605199</c:v>
                </c:pt>
                <c:pt idx="2">
                  <c:v>15915076.21605199</c:v>
                </c:pt>
                <c:pt idx="3">
                  <c:v>15915076.21605199</c:v>
                </c:pt>
                <c:pt idx="4">
                  <c:v>15915076.21605199</c:v>
                </c:pt>
                <c:pt idx="5">
                  <c:v>15915076.21605199</c:v>
                </c:pt>
                <c:pt idx="6">
                  <c:v>15915076.21605199</c:v>
                </c:pt>
                <c:pt idx="7">
                  <c:v>15915076.21605199</c:v>
                </c:pt>
                <c:pt idx="8">
                  <c:v>15915076.21605199</c:v>
                </c:pt>
                <c:pt idx="9">
                  <c:v>15915076.21605199</c:v>
                </c:pt>
                <c:pt idx="10">
                  <c:v>15915076.21605199</c:v>
                </c:pt>
                <c:pt idx="11">
                  <c:v>15915076.21605199</c:v>
                </c:pt>
                <c:pt idx="12">
                  <c:v>15915076.21605199</c:v>
                </c:pt>
                <c:pt idx="13">
                  <c:v>15915076.21605199</c:v>
                </c:pt>
                <c:pt idx="14">
                  <c:v>15915076.21605199</c:v>
                </c:pt>
                <c:pt idx="15">
                  <c:v>15915076.21605199</c:v>
                </c:pt>
                <c:pt idx="16">
                  <c:v>15915076.21605199</c:v>
                </c:pt>
                <c:pt idx="17">
                  <c:v>15915076.21605199</c:v>
                </c:pt>
                <c:pt idx="18">
                  <c:v>15915076.21605199</c:v>
                </c:pt>
                <c:pt idx="19">
                  <c:v>15915076.21605199</c:v>
                </c:pt>
                <c:pt idx="20">
                  <c:v>15915076.21605199</c:v>
                </c:pt>
                <c:pt idx="21">
                  <c:v>15915076.21605199</c:v>
                </c:pt>
                <c:pt idx="22">
                  <c:v>15915076.21605199</c:v>
                </c:pt>
                <c:pt idx="23">
                  <c:v>15915076.21605199</c:v>
                </c:pt>
                <c:pt idx="24">
                  <c:v>15915076.21605199</c:v>
                </c:pt>
                <c:pt idx="25">
                  <c:v>15915076.21605199</c:v>
                </c:pt>
                <c:pt idx="26">
                  <c:v>15915076.21605199</c:v>
                </c:pt>
                <c:pt idx="27">
                  <c:v>15915076.21605199</c:v>
                </c:pt>
                <c:pt idx="28">
                  <c:v>15915076.21605199</c:v>
                </c:pt>
                <c:pt idx="29">
                  <c:v>15915076.21605199</c:v>
                </c:pt>
                <c:pt idx="30">
                  <c:v>15915076.21605199</c:v>
                </c:pt>
                <c:pt idx="31">
                  <c:v>15915076.21605199</c:v>
                </c:pt>
                <c:pt idx="32">
                  <c:v>15915076.21605199</c:v>
                </c:pt>
                <c:pt idx="33">
                  <c:v>15915076.21605199</c:v>
                </c:pt>
                <c:pt idx="34">
                  <c:v>15915076.21605199</c:v>
                </c:pt>
                <c:pt idx="35">
                  <c:v>15915076.21605199</c:v>
                </c:pt>
                <c:pt idx="36">
                  <c:v>15915076.21605199</c:v>
                </c:pt>
                <c:pt idx="37">
                  <c:v>15915076.21605199</c:v>
                </c:pt>
                <c:pt idx="38">
                  <c:v>15915076.21605199</c:v>
                </c:pt>
                <c:pt idx="39">
                  <c:v>15915076.21605199</c:v>
                </c:pt>
                <c:pt idx="40">
                  <c:v>15915076.21605199</c:v>
                </c:pt>
                <c:pt idx="41">
                  <c:v>15915076.21605199</c:v>
                </c:pt>
                <c:pt idx="42">
                  <c:v>15915076.21605199</c:v>
                </c:pt>
                <c:pt idx="43">
                  <c:v>15915076.21605199</c:v>
                </c:pt>
                <c:pt idx="44">
                  <c:v>15915076.21605199</c:v>
                </c:pt>
                <c:pt idx="45">
                  <c:v>15915076.21605199</c:v>
                </c:pt>
                <c:pt idx="46">
                  <c:v>15915076.21605199</c:v>
                </c:pt>
                <c:pt idx="47">
                  <c:v>15915076.21605199</c:v>
                </c:pt>
                <c:pt idx="48">
                  <c:v>15915076.21605199</c:v>
                </c:pt>
                <c:pt idx="49">
                  <c:v>15915076.21605199</c:v>
                </c:pt>
                <c:pt idx="50">
                  <c:v>15915076.21605199</c:v>
                </c:pt>
                <c:pt idx="51">
                  <c:v>15915076.21605199</c:v>
                </c:pt>
                <c:pt idx="52">
                  <c:v>15915076.21605199</c:v>
                </c:pt>
                <c:pt idx="53">
                  <c:v>15915076.21605199</c:v>
                </c:pt>
                <c:pt idx="54">
                  <c:v>15915076.21605199</c:v>
                </c:pt>
                <c:pt idx="55">
                  <c:v>15915076.21605199</c:v>
                </c:pt>
                <c:pt idx="56">
                  <c:v>15915076.21605199</c:v>
                </c:pt>
                <c:pt idx="57">
                  <c:v>15915076.21605199</c:v>
                </c:pt>
                <c:pt idx="58">
                  <c:v>15915076.21605199</c:v>
                </c:pt>
                <c:pt idx="59">
                  <c:v>15915076.21605199</c:v>
                </c:pt>
                <c:pt idx="60">
                  <c:v>15915076.21605199</c:v>
                </c:pt>
                <c:pt idx="61">
                  <c:v>15915076.21605199</c:v>
                </c:pt>
                <c:pt idx="62">
                  <c:v>15915076.21605199</c:v>
                </c:pt>
                <c:pt idx="63">
                  <c:v>15915076.21605199</c:v>
                </c:pt>
                <c:pt idx="64">
                  <c:v>15915076.21605199</c:v>
                </c:pt>
                <c:pt idx="65">
                  <c:v>15915076.21605199</c:v>
                </c:pt>
                <c:pt idx="66">
                  <c:v>15915076.21605199</c:v>
                </c:pt>
                <c:pt idx="67">
                  <c:v>15915076.21605199</c:v>
                </c:pt>
                <c:pt idx="68">
                  <c:v>15915076.21605199</c:v>
                </c:pt>
                <c:pt idx="69">
                  <c:v>15915076.21605199</c:v>
                </c:pt>
                <c:pt idx="70">
                  <c:v>15915076.21605199</c:v>
                </c:pt>
                <c:pt idx="71">
                  <c:v>15915076.21605199</c:v>
                </c:pt>
                <c:pt idx="72">
                  <c:v>15915076.21605199</c:v>
                </c:pt>
                <c:pt idx="73">
                  <c:v>15915076.21605199</c:v>
                </c:pt>
                <c:pt idx="74">
                  <c:v>15915076.21605199</c:v>
                </c:pt>
                <c:pt idx="75">
                  <c:v>15915076.21605199</c:v>
                </c:pt>
                <c:pt idx="76">
                  <c:v>15915076.21605199</c:v>
                </c:pt>
                <c:pt idx="77">
                  <c:v>15915076.21605199</c:v>
                </c:pt>
                <c:pt idx="78">
                  <c:v>15915076.21605199</c:v>
                </c:pt>
                <c:pt idx="79">
                  <c:v>15915076.21605199</c:v>
                </c:pt>
                <c:pt idx="80">
                  <c:v>15915076.21605199</c:v>
                </c:pt>
                <c:pt idx="81">
                  <c:v>15915076.21605199</c:v>
                </c:pt>
                <c:pt idx="82">
                  <c:v>15915076.21605199</c:v>
                </c:pt>
                <c:pt idx="83">
                  <c:v>15915076.21605199</c:v>
                </c:pt>
                <c:pt idx="84">
                  <c:v>15915076.21605199</c:v>
                </c:pt>
                <c:pt idx="85">
                  <c:v>15915076.21605199</c:v>
                </c:pt>
                <c:pt idx="86">
                  <c:v>15915076.21605199</c:v>
                </c:pt>
                <c:pt idx="87">
                  <c:v>15915076.21605199</c:v>
                </c:pt>
                <c:pt idx="88">
                  <c:v>15915076.21605199</c:v>
                </c:pt>
                <c:pt idx="89">
                  <c:v>15915076.21605199</c:v>
                </c:pt>
                <c:pt idx="90">
                  <c:v>15915076.21605199</c:v>
                </c:pt>
                <c:pt idx="91">
                  <c:v>15915076.21605199</c:v>
                </c:pt>
                <c:pt idx="92">
                  <c:v>15915076.21605199</c:v>
                </c:pt>
                <c:pt idx="93">
                  <c:v>15915076.21605199</c:v>
                </c:pt>
                <c:pt idx="94">
                  <c:v>15915076.21605199</c:v>
                </c:pt>
                <c:pt idx="95">
                  <c:v>15915076.21605199</c:v>
                </c:pt>
                <c:pt idx="96">
                  <c:v>15915076.21605199</c:v>
                </c:pt>
                <c:pt idx="97">
                  <c:v>15915076.21605199</c:v>
                </c:pt>
                <c:pt idx="98">
                  <c:v>15915076.21605199</c:v>
                </c:pt>
                <c:pt idx="99">
                  <c:v>15915076.21605199</c:v>
                </c:pt>
                <c:pt idx="100">
                  <c:v>15915076.21605199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8F7-4447-98E4-EFDD330BCE12}"/>
            </c:ext>
          </c:extLst>
        </c:ser>
        <c:ser>
          <c:idx val="9"/>
          <c:order val="9"/>
          <c:tx>
            <c:v>Ing Año 1</c:v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'E-Costos'!$D$144:$D$244</c:f>
              <c:numCache>
                <c:formatCode>_(\$* #,##0.00_);_(\$* \(#,##0.00\);_(\$* \-??_);_(@_)</c:formatCode>
                <c:ptCount val="101"/>
                <c:pt idx="0">
                  <c:v>0</c:v>
                </c:pt>
                <c:pt idx="1">
                  <c:v>259375</c:v>
                </c:pt>
                <c:pt idx="2">
                  <c:v>518750</c:v>
                </c:pt>
                <c:pt idx="3">
                  <c:v>778125</c:v>
                </c:pt>
                <c:pt idx="4">
                  <c:v>1037500</c:v>
                </c:pt>
                <c:pt idx="5">
                  <c:v>1296875</c:v>
                </c:pt>
                <c:pt idx="6">
                  <c:v>1556250</c:v>
                </c:pt>
                <c:pt idx="7">
                  <c:v>1815625</c:v>
                </c:pt>
                <c:pt idx="8">
                  <c:v>2075000</c:v>
                </c:pt>
                <c:pt idx="9">
                  <c:v>2334375</c:v>
                </c:pt>
                <c:pt idx="10">
                  <c:v>2593750</c:v>
                </c:pt>
                <c:pt idx="11">
                  <c:v>2853125</c:v>
                </c:pt>
                <c:pt idx="12">
                  <c:v>3112500</c:v>
                </c:pt>
                <c:pt idx="13">
                  <c:v>3371875</c:v>
                </c:pt>
                <c:pt idx="14">
                  <c:v>3631250</c:v>
                </c:pt>
                <c:pt idx="15">
                  <c:v>3890625</c:v>
                </c:pt>
                <c:pt idx="16">
                  <c:v>4150000</c:v>
                </c:pt>
                <c:pt idx="17">
                  <c:v>4409375</c:v>
                </c:pt>
                <c:pt idx="18">
                  <c:v>4668750</c:v>
                </c:pt>
                <c:pt idx="19">
                  <c:v>4928125</c:v>
                </c:pt>
                <c:pt idx="20">
                  <c:v>5187500</c:v>
                </c:pt>
                <c:pt idx="21">
                  <c:v>5446875</c:v>
                </c:pt>
                <c:pt idx="22">
                  <c:v>5706250</c:v>
                </c:pt>
                <c:pt idx="23">
                  <c:v>5965625</c:v>
                </c:pt>
                <c:pt idx="24">
                  <c:v>6225000</c:v>
                </c:pt>
                <c:pt idx="25">
                  <c:v>6484375</c:v>
                </c:pt>
                <c:pt idx="26">
                  <c:v>6743750</c:v>
                </c:pt>
                <c:pt idx="27">
                  <c:v>7003125</c:v>
                </c:pt>
                <c:pt idx="28">
                  <c:v>7262500</c:v>
                </c:pt>
                <c:pt idx="29">
                  <c:v>7521875</c:v>
                </c:pt>
                <c:pt idx="30">
                  <c:v>7781250</c:v>
                </c:pt>
                <c:pt idx="31">
                  <c:v>8040625</c:v>
                </c:pt>
                <c:pt idx="32">
                  <c:v>8300000</c:v>
                </c:pt>
                <c:pt idx="33">
                  <c:v>8559375</c:v>
                </c:pt>
                <c:pt idx="34">
                  <c:v>8818750</c:v>
                </c:pt>
                <c:pt idx="35">
                  <c:v>9078125</c:v>
                </c:pt>
                <c:pt idx="36">
                  <c:v>9337500</c:v>
                </c:pt>
                <c:pt idx="37">
                  <c:v>9596875</c:v>
                </c:pt>
                <c:pt idx="38">
                  <c:v>9856250</c:v>
                </c:pt>
                <c:pt idx="39">
                  <c:v>10115625</c:v>
                </c:pt>
                <c:pt idx="40">
                  <c:v>10375000</c:v>
                </c:pt>
                <c:pt idx="41">
                  <c:v>10634375</c:v>
                </c:pt>
                <c:pt idx="42">
                  <c:v>10893750</c:v>
                </c:pt>
                <c:pt idx="43">
                  <c:v>11153125</c:v>
                </c:pt>
                <c:pt idx="44">
                  <c:v>11412500</c:v>
                </c:pt>
                <c:pt idx="45">
                  <c:v>11671875</c:v>
                </c:pt>
                <c:pt idx="46">
                  <c:v>11931250</c:v>
                </c:pt>
                <c:pt idx="47">
                  <c:v>12190625</c:v>
                </c:pt>
                <c:pt idx="48">
                  <c:v>12450000</c:v>
                </c:pt>
                <c:pt idx="49">
                  <c:v>12709375</c:v>
                </c:pt>
                <c:pt idx="50">
                  <c:v>12968750</c:v>
                </c:pt>
                <c:pt idx="51">
                  <c:v>13228125</c:v>
                </c:pt>
                <c:pt idx="52">
                  <c:v>13487500</c:v>
                </c:pt>
                <c:pt idx="53">
                  <c:v>13746875</c:v>
                </c:pt>
                <c:pt idx="54">
                  <c:v>14006250</c:v>
                </c:pt>
                <c:pt idx="55">
                  <c:v>14265625</c:v>
                </c:pt>
                <c:pt idx="56">
                  <c:v>14525000</c:v>
                </c:pt>
                <c:pt idx="57">
                  <c:v>14784375</c:v>
                </c:pt>
                <c:pt idx="58">
                  <c:v>15043750</c:v>
                </c:pt>
                <c:pt idx="59">
                  <c:v>15303125</c:v>
                </c:pt>
                <c:pt idx="60">
                  <c:v>15562500</c:v>
                </c:pt>
                <c:pt idx="61">
                  <c:v>15821875</c:v>
                </c:pt>
                <c:pt idx="62">
                  <c:v>16081250</c:v>
                </c:pt>
                <c:pt idx="63">
                  <c:v>16340625</c:v>
                </c:pt>
                <c:pt idx="64">
                  <c:v>16600000</c:v>
                </c:pt>
                <c:pt idx="65">
                  <c:v>16859375</c:v>
                </c:pt>
                <c:pt idx="66">
                  <c:v>17118750</c:v>
                </c:pt>
                <c:pt idx="67">
                  <c:v>17378125</c:v>
                </c:pt>
                <c:pt idx="68">
                  <c:v>17637500</c:v>
                </c:pt>
                <c:pt idx="69">
                  <c:v>17896875</c:v>
                </c:pt>
                <c:pt idx="70">
                  <c:v>18156250</c:v>
                </c:pt>
                <c:pt idx="71">
                  <c:v>18415625</c:v>
                </c:pt>
                <c:pt idx="72">
                  <c:v>18675000</c:v>
                </c:pt>
                <c:pt idx="73">
                  <c:v>18934375</c:v>
                </c:pt>
                <c:pt idx="74">
                  <c:v>19193750</c:v>
                </c:pt>
                <c:pt idx="75">
                  <c:v>19453125</c:v>
                </c:pt>
                <c:pt idx="76">
                  <c:v>19712500</c:v>
                </c:pt>
                <c:pt idx="77">
                  <c:v>19971875</c:v>
                </c:pt>
                <c:pt idx="78">
                  <c:v>20231250</c:v>
                </c:pt>
                <c:pt idx="79">
                  <c:v>20490625</c:v>
                </c:pt>
                <c:pt idx="80">
                  <c:v>20750000</c:v>
                </c:pt>
                <c:pt idx="81">
                  <c:v>21009375</c:v>
                </c:pt>
                <c:pt idx="82">
                  <c:v>21268750</c:v>
                </c:pt>
                <c:pt idx="83">
                  <c:v>21528125</c:v>
                </c:pt>
                <c:pt idx="84">
                  <c:v>21787500</c:v>
                </c:pt>
                <c:pt idx="85">
                  <c:v>22046875</c:v>
                </c:pt>
                <c:pt idx="86">
                  <c:v>22306250</c:v>
                </c:pt>
                <c:pt idx="87">
                  <c:v>22565625</c:v>
                </c:pt>
                <c:pt idx="88">
                  <c:v>22825000</c:v>
                </c:pt>
                <c:pt idx="89">
                  <c:v>23084375</c:v>
                </c:pt>
                <c:pt idx="90">
                  <c:v>23343750</c:v>
                </c:pt>
                <c:pt idx="91">
                  <c:v>23603125</c:v>
                </c:pt>
                <c:pt idx="92">
                  <c:v>23862500</c:v>
                </c:pt>
                <c:pt idx="93">
                  <c:v>24121875</c:v>
                </c:pt>
                <c:pt idx="94">
                  <c:v>24381250</c:v>
                </c:pt>
                <c:pt idx="95">
                  <c:v>24640625</c:v>
                </c:pt>
                <c:pt idx="96">
                  <c:v>24900000</c:v>
                </c:pt>
                <c:pt idx="97">
                  <c:v>25159375</c:v>
                </c:pt>
                <c:pt idx="98">
                  <c:v>25418750</c:v>
                </c:pt>
                <c:pt idx="99">
                  <c:v>25678125</c:v>
                </c:pt>
                <c:pt idx="100">
                  <c:v>25937500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B8F7-4447-98E4-EFDD330BC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558160"/>
        <c:axId val="426558552"/>
      </c:lineChart>
      <c:catAx>
        <c:axId val="42655816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426558552"/>
        <c:crosses val="autoZero"/>
        <c:auto val="1"/>
        <c:lblAlgn val="ctr"/>
        <c:lblOffset val="100"/>
        <c:noMultiLvlLbl val="0"/>
      </c:catAx>
      <c:valAx>
        <c:axId val="426558552"/>
        <c:scaling>
          <c:orientation val="minMax"/>
        </c:scaling>
        <c:delete val="0"/>
        <c:axPos val="l"/>
        <c:majorGridlines/>
        <c:numFmt formatCode="_(\$* #,##0.00_);_(\$* \(#,##0.00\);_(\$* \-??_);_(@_)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42655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Ventas Año 2 y 5</c:v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'F-2 Estructura'!$H$55:$H$155</c:f>
              <c:numCache>
                <c:formatCode>_(\$* #,##0.00_);_(\$* \(#,##0.00\);_(\$* \-??_);_(@_)</c:formatCode>
                <c:ptCount val="101"/>
                <c:pt idx="0">
                  <c:v>30000000</c:v>
                </c:pt>
                <c:pt idx="1">
                  <c:v>30000000</c:v>
                </c:pt>
                <c:pt idx="2">
                  <c:v>30000000</c:v>
                </c:pt>
                <c:pt idx="3">
                  <c:v>30000000</c:v>
                </c:pt>
                <c:pt idx="4">
                  <c:v>30000000</c:v>
                </c:pt>
                <c:pt idx="5">
                  <c:v>30000000</c:v>
                </c:pt>
                <c:pt idx="6">
                  <c:v>30000000</c:v>
                </c:pt>
                <c:pt idx="7">
                  <c:v>30000000</c:v>
                </c:pt>
                <c:pt idx="8">
                  <c:v>30000000</c:v>
                </c:pt>
                <c:pt idx="9">
                  <c:v>30000000</c:v>
                </c:pt>
                <c:pt idx="10">
                  <c:v>30000000</c:v>
                </c:pt>
                <c:pt idx="11">
                  <c:v>30000000</c:v>
                </c:pt>
                <c:pt idx="12">
                  <c:v>30000000</c:v>
                </c:pt>
                <c:pt idx="13">
                  <c:v>30000000</c:v>
                </c:pt>
                <c:pt idx="14">
                  <c:v>30000000</c:v>
                </c:pt>
                <c:pt idx="15">
                  <c:v>30000000</c:v>
                </c:pt>
                <c:pt idx="16">
                  <c:v>30000000</c:v>
                </c:pt>
                <c:pt idx="17">
                  <c:v>30000000</c:v>
                </c:pt>
                <c:pt idx="18">
                  <c:v>30000000</c:v>
                </c:pt>
                <c:pt idx="19">
                  <c:v>30000000</c:v>
                </c:pt>
                <c:pt idx="20">
                  <c:v>30000000</c:v>
                </c:pt>
                <c:pt idx="21">
                  <c:v>30000000</c:v>
                </c:pt>
                <c:pt idx="22">
                  <c:v>30000000</c:v>
                </c:pt>
                <c:pt idx="23">
                  <c:v>30000000</c:v>
                </c:pt>
                <c:pt idx="24">
                  <c:v>30000000</c:v>
                </c:pt>
                <c:pt idx="25">
                  <c:v>30000000</c:v>
                </c:pt>
                <c:pt idx="26">
                  <c:v>30000000</c:v>
                </c:pt>
                <c:pt idx="27">
                  <c:v>30000000</c:v>
                </c:pt>
                <c:pt idx="28">
                  <c:v>30000000</c:v>
                </c:pt>
                <c:pt idx="29">
                  <c:v>30000000</c:v>
                </c:pt>
                <c:pt idx="30">
                  <c:v>30000000</c:v>
                </c:pt>
                <c:pt idx="31">
                  <c:v>30000000</c:v>
                </c:pt>
                <c:pt idx="32">
                  <c:v>30000000</c:v>
                </c:pt>
                <c:pt idx="33">
                  <c:v>30000000</c:v>
                </c:pt>
                <c:pt idx="34">
                  <c:v>30000000</c:v>
                </c:pt>
                <c:pt idx="35">
                  <c:v>30000000</c:v>
                </c:pt>
                <c:pt idx="36">
                  <c:v>30000000</c:v>
                </c:pt>
                <c:pt idx="37">
                  <c:v>30000000</c:v>
                </c:pt>
                <c:pt idx="38">
                  <c:v>30000000</c:v>
                </c:pt>
                <c:pt idx="39">
                  <c:v>30000000</c:v>
                </c:pt>
                <c:pt idx="40">
                  <c:v>30000000</c:v>
                </c:pt>
                <c:pt idx="41">
                  <c:v>30000000</c:v>
                </c:pt>
                <c:pt idx="42">
                  <c:v>30000000</c:v>
                </c:pt>
                <c:pt idx="43">
                  <c:v>30000000</c:v>
                </c:pt>
                <c:pt idx="44">
                  <c:v>30000000</c:v>
                </c:pt>
                <c:pt idx="45">
                  <c:v>30000000</c:v>
                </c:pt>
                <c:pt idx="46">
                  <c:v>30000000</c:v>
                </c:pt>
                <c:pt idx="47">
                  <c:v>30000000</c:v>
                </c:pt>
                <c:pt idx="48">
                  <c:v>30000000</c:v>
                </c:pt>
                <c:pt idx="49">
                  <c:v>30000000</c:v>
                </c:pt>
                <c:pt idx="50">
                  <c:v>30000000</c:v>
                </c:pt>
                <c:pt idx="51">
                  <c:v>30000000</c:v>
                </c:pt>
                <c:pt idx="52">
                  <c:v>30000000</c:v>
                </c:pt>
                <c:pt idx="53">
                  <c:v>30000000</c:v>
                </c:pt>
                <c:pt idx="54">
                  <c:v>30000000</c:v>
                </c:pt>
                <c:pt idx="55">
                  <c:v>30000000</c:v>
                </c:pt>
                <c:pt idx="56">
                  <c:v>30000000</c:v>
                </c:pt>
                <c:pt idx="57">
                  <c:v>30000000</c:v>
                </c:pt>
                <c:pt idx="58">
                  <c:v>30000000</c:v>
                </c:pt>
                <c:pt idx="59">
                  <c:v>30000000</c:v>
                </c:pt>
                <c:pt idx="60">
                  <c:v>30000000</c:v>
                </c:pt>
                <c:pt idx="61">
                  <c:v>30000000</c:v>
                </c:pt>
                <c:pt idx="62">
                  <c:v>30000000</c:v>
                </c:pt>
                <c:pt idx="63">
                  <c:v>30000000</c:v>
                </c:pt>
                <c:pt idx="64">
                  <c:v>30000000</c:v>
                </c:pt>
                <c:pt idx="65">
                  <c:v>30000000</c:v>
                </c:pt>
                <c:pt idx="66">
                  <c:v>30000000</c:v>
                </c:pt>
                <c:pt idx="67">
                  <c:v>30000000</c:v>
                </c:pt>
                <c:pt idx="68">
                  <c:v>30000000</c:v>
                </c:pt>
                <c:pt idx="69">
                  <c:v>30000000</c:v>
                </c:pt>
                <c:pt idx="70">
                  <c:v>30000000</c:v>
                </c:pt>
                <c:pt idx="71">
                  <c:v>30000000</c:v>
                </c:pt>
                <c:pt idx="72">
                  <c:v>30000000</c:v>
                </c:pt>
                <c:pt idx="73">
                  <c:v>30000000</c:v>
                </c:pt>
                <c:pt idx="74">
                  <c:v>30000000</c:v>
                </c:pt>
                <c:pt idx="75">
                  <c:v>30000000</c:v>
                </c:pt>
                <c:pt idx="76">
                  <c:v>30000000</c:v>
                </c:pt>
                <c:pt idx="77">
                  <c:v>30000000</c:v>
                </c:pt>
                <c:pt idx="78">
                  <c:v>30000000</c:v>
                </c:pt>
                <c:pt idx="79">
                  <c:v>30000000</c:v>
                </c:pt>
                <c:pt idx="80">
                  <c:v>30000000</c:v>
                </c:pt>
                <c:pt idx="81">
                  <c:v>30000000</c:v>
                </c:pt>
                <c:pt idx="82">
                  <c:v>30000000</c:v>
                </c:pt>
                <c:pt idx="83">
                  <c:v>30000000</c:v>
                </c:pt>
                <c:pt idx="84">
                  <c:v>30000000</c:v>
                </c:pt>
                <c:pt idx="85">
                  <c:v>30000000</c:v>
                </c:pt>
                <c:pt idx="86">
                  <c:v>30000000</c:v>
                </c:pt>
                <c:pt idx="87">
                  <c:v>30000000</c:v>
                </c:pt>
                <c:pt idx="88">
                  <c:v>30000000</c:v>
                </c:pt>
                <c:pt idx="89">
                  <c:v>30000000</c:v>
                </c:pt>
                <c:pt idx="90">
                  <c:v>30000000</c:v>
                </c:pt>
                <c:pt idx="91">
                  <c:v>30000000</c:v>
                </c:pt>
                <c:pt idx="92">
                  <c:v>30000000</c:v>
                </c:pt>
                <c:pt idx="93">
                  <c:v>30000000</c:v>
                </c:pt>
                <c:pt idx="94">
                  <c:v>30000000</c:v>
                </c:pt>
                <c:pt idx="95">
                  <c:v>30000000</c:v>
                </c:pt>
                <c:pt idx="96">
                  <c:v>30000000</c:v>
                </c:pt>
                <c:pt idx="97">
                  <c:v>30000000</c:v>
                </c:pt>
                <c:pt idx="98">
                  <c:v>30000000</c:v>
                </c:pt>
                <c:pt idx="99">
                  <c:v>30000000</c:v>
                </c:pt>
                <c:pt idx="100">
                  <c:v>30000000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B2-4412-96B6-13AC27E214CD}"/>
            </c:ext>
          </c:extLst>
        </c:ser>
        <c:ser>
          <c:idx val="3"/>
          <c:order val="1"/>
          <c:tx>
            <c:v>Ing</c:v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'F-2 Estructura'!$J$55:$J$155</c:f>
              <c:numCache>
                <c:formatCode>_(\$* #,##0.00_);_(\$* \(#,##0.00\);_(\$* \-??_);_(@_)</c:formatCode>
                <c:ptCount val="101"/>
                <c:pt idx="0">
                  <c:v>0</c:v>
                </c:pt>
                <c:pt idx="1">
                  <c:v>300000</c:v>
                </c:pt>
                <c:pt idx="2">
                  <c:v>600000</c:v>
                </c:pt>
                <c:pt idx="3">
                  <c:v>900000</c:v>
                </c:pt>
                <c:pt idx="4">
                  <c:v>1200000</c:v>
                </c:pt>
                <c:pt idx="5">
                  <c:v>1500000</c:v>
                </c:pt>
                <c:pt idx="6">
                  <c:v>1800000</c:v>
                </c:pt>
                <c:pt idx="7">
                  <c:v>2100000</c:v>
                </c:pt>
                <c:pt idx="8">
                  <c:v>2400000</c:v>
                </c:pt>
                <c:pt idx="9">
                  <c:v>2700000</c:v>
                </c:pt>
                <c:pt idx="10">
                  <c:v>3000000</c:v>
                </c:pt>
                <c:pt idx="11">
                  <c:v>3300000</c:v>
                </c:pt>
                <c:pt idx="12">
                  <c:v>3600000</c:v>
                </c:pt>
                <c:pt idx="13">
                  <c:v>3900000</c:v>
                </c:pt>
                <c:pt idx="14">
                  <c:v>4200000</c:v>
                </c:pt>
                <c:pt idx="15">
                  <c:v>4500000</c:v>
                </c:pt>
                <c:pt idx="16">
                  <c:v>4800000</c:v>
                </c:pt>
                <c:pt idx="17">
                  <c:v>5100000</c:v>
                </c:pt>
                <c:pt idx="18">
                  <c:v>5400000</c:v>
                </c:pt>
                <c:pt idx="19">
                  <c:v>5700000</c:v>
                </c:pt>
                <c:pt idx="20">
                  <c:v>6000000</c:v>
                </c:pt>
                <c:pt idx="21">
                  <c:v>6300000</c:v>
                </c:pt>
                <c:pt idx="22">
                  <c:v>6600000</c:v>
                </c:pt>
                <c:pt idx="23">
                  <c:v>6900000</c:v>
                </c:pt>
                <c:pt idx="24">
                  <c:v>7200000</c:v>
                </c:pt>
                <c:pt idx="25">
                  <c:v>7500000</c:v>
                </c:pt>
                <c:pt idx="26">
                  <c:v>7800000</c:v>
                </c:pt>
                <c:pt idx="27">
                  <c:v>8100000</c:v>
                </c:pt>
                <c:pt idx="28">
                  <c:v>8400000</c:v>
                </c:pt>
                <c:pt idx="29">
                  <c:v>8700000</c:v>
                </c:pt>
                <c:pt idx="30">
                  <c:v>9000000</c:v>
                </c:pt>
                <c:pt idx="31">
                  <c:v>9300000</c:v>
                </c:pt>
                <c:pt idx="32">
                  <c:v>9600000</c:v>
                </c:pt>
                <c:pt idx="33">
                  <c:v>9900000</c:v>
                </c:pt>
                <c:pt idx="34">
                  <c:v>10200000</c:v>
                </c:pt>
                <c:pt idx="35">
                  <c:v>10500000</c:v>
                </c:pt>
                <c:pt idx="36">
                  <c:v>10800000</c:v>
                </c:pt>
                <c:pt idx="37">
                  <c:v>11100000</c:v>
                </c:pt>
                <c:pt idx="38">
                  <c:v>11400000</c:v>
                </c:pt>
                <c:pt idx="39">
                  <c:v>11700000</c:v>
                </c:pt>
                <c:pt idx="40">
                  <c:v>12000000</c:v>
                </c:pt>
                <c:pt idx="41">
                  <c:v>12300000</c:v>
                </c:pt>
                <c:pt idx="42">
                  <c:v>12600000</c:v>
                </c:pt>
                <c:pt idx="43">
                  <c:v>12900000</c:v>
                </c:pt>
                <c:pt idx="44">
                  <c:v>13200000</c:v>
                </c:pt>
                <c:pt idx="45">
                  <c:v>13500000</c:v>
                </c:pt>
                <c:pt idx="46">
                  <c:v>13800000</c:v>
                </c:pt>
                <c:pt idx="47">
                  <c:v>14100000</c:v>
                </c:pt>
                <c:pt idx="48">
                  <c:v>14400000</c:v>
                </c:pt>
                <c:pt idx="49">
                  <c:v>14700000</c:v>
                </c:pt>
                <c:pt idx="50">
                  <c:v>15000000</c:v>
                </c:pt>
                <c:pt idx="51">
                  <c:v>15300000</c:v>
                </c:pt>
                <c:pt idx="52">
                  <c:v>15600000</c:v>
                </c:pt>
                <c:pt idx="53">
                  <c:v>15900000</c:v>
                </c:pt>
                <c:pt idx="54">
                  <c:v>16200000</c:v>
                </c:pt>
                <c:pt idx="55">
                  <c:v>16500000</c:v>
                </c:pt>
                <c:pt idx="56">
                  <c:v>16800000</c:v>
                </c:pt>
                <c:pt idx="57">
                  <c:v>17100000</c:v>
                </c:pt>
                <c:pt idx="58">
                  <c:v>17400000</c:v>
                </c:pt>
                <c:pt idx="59">
                  <c:v>17700000</c:v>
                </c:pt>
                <c:pt idx="60">
                  <c:v>18000000</c:v>
                </c:pt>
                <c:pt idx="61">
                  <c:v>18300000</c:v>
                </c:pt>
                <c:pt idx="62">
                  <c:v>18600000</c:v>
                </c:pt>
                <c:pt idx="63">
                  <c:v>18900000</c:v>
                </c:pt>
                <c:pt idx="64">
                  <c:v>19200000</c:v>
                </c:pt>
                <c:pt idx="65">
                  <c:v>19500000</c:v>
                </c:pt>
                <c:pt idx="66">
                  <c:v>19800000</c:v>
                </c:pt>
                <c:pt idx="67">
                  <c:v>20100000</c:v>
                </c:pt>
                <c:pt idx="68">
                  <c:v>20400000</c:v>
                </c:pt>
                <c:pt idx="69">
                  <c:v>20700000</c:v>
                </c:pt>
                <c:pt idx="70">
                  <c:v>21000000</c:v>
                </c:pt>
                <c:pt idx="71">
                  <c:v>21300000</c:v>
                </c:pt>
                <c:pt idx="72">
                  <c:v>21600000</c:v>
                </c:pt>
                <c:pt idx="73">
                  <c:v>21900000</c:v>
                </c:pt>
                <c:pt idx="74">
                  <c:v>22200000</c:v>
                </c:pt>
                <c:pt idx="75">
                  <c:v>22500000</c:v>
                </c:pt>
                <c:pt idx="76">
                  <c:v>22800000</c:v>
                </c:pt>
                <c:pt idx="77">
                  <c:v>23100000</c:v>
                </c:pt>
                <c:pt idx="78">
                  <c:v>23400000</c:v>
                </c:pt>
                <c:pt idx="79">
                  <c:v>23700000</c:v>
                </c:pt>
                <c:pt idx="80">
                  <c:v>24000000</c:v>
                </c:pt>
                <c:pt idx="81">
                  <c:v>24300000</c:v>
                </c:pt>
                <c:pt idx="82">
                  <c:v>24600000</c:v>
                </c:pt>
                <c:pt idx="83">
                  <c:v>24900000</c:v>
                </c:pt>
                <c:pt idx="84">
                  <c:v>25200000</c:v>
                </c:pt>
                <c:pt idx="85">
                  <c:v>25500000</c:v>
                </c:pt>
                <c:pt idx="86">
                  <c:v>25800000</c:v>
                </c:pt>
                <c:pt idx="87">
                  <c:v>26100000</c:v>
                </c:pt>
                <c:pt idx="88">
                  <c:v>26400000</c:v>
                </c:pt>
                <c:pt idx="89">
                  <c:v>26700000</c:v>
                </c:pt>
                <c:pt idx="90">
                  <c:v>27000000</c:v>
                </c:pt>
                <c:pt idx="91">
                  <c:v>27300000</c:v>
                </c:pt>
                <c:pt idx="92">
                  <c:v>27600000</c:v>
                </c:pt>
                <c:pt idx="93">
                  <c:v>27900000</c:v>
                </c:pt>
                <c:pt idx="94">
                  <c:v>28200000</c:v>
                </c:pt>
                <c:pt idx="95">
                  <c:v>28500000</c:v>
                </c:pt>
                <c:pt idx="96">
                  <c:v>28800000</c:v>
                </c:pt>
                <c:pt idx="97">
                  <c:v>29100000</c:v>
                </c:pt>
                <c:pt idx="98">
                  <c:v>29400000</c:v>
                </c:pt>
                <c:pt idx="99">
                  <c:v>29700000</c:v>
                </c:pt>
                <c:pt idx="100">
                  <c:v>30000000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8B2-4412-96B6-13AC27E214CD}"/>
            </c:ext>
          </c:extLst>
        </c:ser>
        <c:ser>
          <c:idx val="2"/>
          <c:order val="2"/>
          <c:tx>
            <c:v>CFT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'E-Costos'!$A$144:$A$244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'F-2 Estructura'!$I$55:$I$155</c:f>
              <c:numCache>
                <c:formatCode>_(\$* #,##0.00_);_(\$* \(#,##0.00\);_(\$* \-??_);_(@_)</c:formatCode>
                <c:ptCount val="101"/>
                <c:pt idx="0">
                  <c:v>8809315.4496745728</c:v>
                </c:pt>
                <c:pt idx="1">
                  <c:v>8809315.4496745728</c:v>
                </c:pt>
                <c:pt idx="2">
                  <c:v>8809315.4496745728</c:v>
                </c:pt>
                <c:pt idx="3">
                  <c:v>8809315.4496745728</c:v>
                </c:pt>
                <c:pt idx="4">
                  <c:v>8809315.4496745728</c:v>
                </c:pt>
                <c:pt idx="5">
                  <c:v>8809315.4496745728</c:v>
                </c:pt>
                <c:pt idx="6">
                  <c:v>8809315.4496745728</c:v>
                </c:pt>
                <c:pt idx="7">
                  <c:v>8809315.4496745728</c:v>
                </c:pt>
                <c:pt idx="8">
                  <c:v>8809315.4496745728</c:v>
                </c:pt>
                <c:pt idx="9">
                  <c:v>8809315.4496745728</c:v>
                </c:pt>
                <c:pt idx="10">
                  <c:v>8809315.4496745728</c:v>
                </c:pt>
                <c:pt idx="11">
                  <c:v>8809315.4496745728</c:v>
                </c:pt>
                <c:pt idx="12">
                  <c:v>8809315.4496745728</c:v>
                </c:pt>
                <c:pt idx="13">
                  <c:v>8809315.4496745728</c:v>
                </c:pt>
                <c:pt idx="14">
                  <c:v>8809315.4496745728</c:v>
                </c:pt>
                <c:pt idx="15">
                  <c:v>8809315.4496745728</c:v>
                </c:pt>
                <c:pt idx="16">
                  <c:v>8809315.4496745728</c:v>
                </c:pt>
                <c:pt idx="17">
                  <c:v>8809315.4496745728</c:v>
                </c:pt>
                <c:pt idx="18">
                  <c:v>8809315.4496745728</c:v>
                </c:pt>
                <c:pt idx="19">
                  <c:v>8809315.4496745728</c:v>
                </c:pt>
                <c:pt idx="20">
                  <c:v>8809315.4496745728</c:v>
                </c:pt>
                <c:pt idx="21">
                  <c:v>8809315.4496745728</c:v>
                </c:pt>
                <c:pt idx="22">
                  <c:v>8809315.4496745728</c:v>
                </c:pt>
                <c:pt idx="23">
                  <c:v>8809315.4496745728</c:v>
                </c:pt>
                <c:pt idx="24">
                  <c:v>8809315.4496745728</c:v>
                </c:pt>
                <c:pt idx="25">
                  <c:v>8809315.4496745728</c:v>
                </c:pt>
                <c:pt idx="26">
                  <c:v>8809315.4496745728</c:v>
                </c:pt>
                <c:pt idx="27">
                  <c:v>8809315.4496745728</c:v>
                </c:pt>
                <c:pt idx="28">
                  <c:v>8809315.4496745728</c:v>
                </c:pt>
                <c:pt idx="29">
                  <c:v>8809315.4496745728</c:v>
                </c:pt>
                <c:pt idx="30">
                  <c:v>8809315.4496745728</c:v>
                </c:pt>
                <c:pt idx="31">
                  <c:v>8809315.4496745728</c:v>
                </c:pt>
                <c:pt idx="32">
                  <c:v>8809315.4496745728</c:v>
                </c:pt>
                <c:pt idx="33">
                  <c:v>8809315.4496745728</c:v>
                </c:pt>
                <c:pt idx="34">
                  <c:v>8809315.4496745728</c:v>
                </c:pt>
                <c:pt idx="35">
                  <c:v>8809315.4496745728</c:v>
                </c:pt>
                <c:pt idx="36">
                  <c:v>8809315.4496745728</c:v>
                </c:pt>
                <c:pt idx="37">
                  <c:v>8809315.4496745728</c:v>
                </c:pt>
                <c:pt idx="38">
                  <c:v>8809315.4496745728</c:v>
                </c:pt>
                <c:pt idx="39">
                  <c:v>8809315.4496745728</c:v>
                </c:pt>
                <c:pt idx="40">
                  <c:v>8809315.4496745728</c:v>
                </c:pt>
                <c:pt idx="41">
                  <c:v>8809315.4496745728</c:v>
                </c:pt>
                <c:pt idx="42">
                  <c:v>8809315.4496745728</c:v>
                </c:pt>
                <c:pt idx="43">
                  <c:v>8809315.4496745728</c:v>
                </c:pt>
                <c:pt idx="44">
                  <c:v>8809315.4496745728</c:v>
                </c:pt>
                <c:pt idx="45">
                  <c:v>8809315.4496745728</c:v>
                </c:pt>
                <c:pt idx="46">
                  <c:v>8809315.4496745728</c:v>
                </c:pt>
                <c:pt idx="47">
                  <c:v>8809315.4496745728</c:v>
                </c:pt>
                <c:pt idx="48">
                  <c:v>8809315.4496745728</c:v>
                </c:pt>
                <c:pt idx="49">
                  <c:v>8809315.4496745728</c:v>
                </c:pt>
                <c:pt idx="50">
                  <c:v>8809315.4496745728</c:v>
                </c:pt>
                <c:pt idx="51">
                  <c:v>8809315.4496745728</c:v>
                </c:pt>
                <c:pt idx="52">
                  <c:v>8809315.4496745728</c:v>
                </c:pt>
                <c:pt idx="53">
                  <c:v>8809315.4496745728</c:v>
                </c:pt>
                <c:pt idx="54">
                  <c:v>8809315.4496745728</c:v>
                </c:pt>
                <c:pt idx="55">
                  <c:v>8809315.4496745728</c:v>
                </c:pt>
                <c:pt idx="56">
                  <c:v>8809315.4496745728</c:v>
                </c:pt>
                <c:pt idx="57">
                  <c:v>8809315.4496745728</c:v>
                </c:pt>
                <c:pt idx="58">
                  <c:v>8809315.4496745728</c:v>
                </c:pt>
                <c:pt idx="59">
                  <c:v>8809315.4496745728</c:v>
                </c:pt>
                <c:pt idx="60">
                  <c:v>8809315.4496745728</c:v>
                </c:pt>
                <c:pt idx="61">
                  <c:v>8809315.4496745728</c:v>
                </c:pt>
                <c:pt idx="62">
                  <c:v>8809315.4496745728</c:v>
                </c:pt>
                <c:pt idx="63">
                  <c:v>8809315.4496745728</c:v>
                </c:pt>
                <c:pt idx="64">
                  <c:v>8809315.4496745728</c:v>
                </c:pt>
                <c:pt idx="65">
                  <c:v>8809315.4496745728</c:v>
                </c:pt>
                <c:pt idx="66">
                  <c:v>8809315.4496745728</c:v>
                </c:pt>
                <c:pt idx="67">
                  <c:v>8809315.4496745728</c:v>
                </c:pt>
                <c:pt idx="68">
                  <c:v>8809315.4496745728</c:v>
                </c:pt>
                <c:pt idx="69">
                  <c:v>8809315.4496745728</c:v>
                </c:pt>
                <c:pt idx="70">
                  <c:v>8809315.4496745728</c:v>
                </c:pt>
                <c:pt idx="71">
                  <c:v>8809315.4496745728</c:v>
                </c:pt>
                <c:pt idx="72">
                  <c:v>8809315.4496745728</c:v>
                </c:pt>
                <c:pt idx="73">
                  <c:v>8809315.4496745728</c:v>
                </c:pt>
                <c:pt idx="74">
                  <c:v>8809315.4496745728</c:v>
                </c:pt>
                <c:pt idx="75">
                  <c:v>8809315.4496745728</c:v>
                </c:pt>
                <c:pt idx="76">
                  <c:v>8809315.4496745728</c:v>
                </c:pt>
                <c:pt idx="77">
                  <c:v>8809315.4496745728</c:v>
                </c:pt>
                <c:pt idx="78">
                  <c:v>8809315.4496745728</c:v>
                </c:pt>
                <c:pt idx="79">
                  <c:v>8809315.4496745728</c:v>
                </c:pt>
                <c:pt idx="80">
                  <c:v>8809315.4496745728</c:v>
                </c:pt>
                <c:pt idx="81">
                  <c:v>8809315.4496745728</c:v>
                </c:pt>
                <c:pt idx="82">
                  <c:v>8809315.4496745728</c:v>
                </c:pt>
                <c:pt idx="83">
                  <c:v>8809315.4496745728</c:v>
                </c:pt>
                <c:pt idx="84">
                  <c:v>8809315.4496745728</c:v>
                </c:pt>
                <c:pt idx="85">
                  <c:v>8809315.4496745728</c:v>
                </c:pt>
                <c:pt idx="86">
                  <c:v>8809315.4496745728</c:v>
                </c:pt>
                <c:pt idx="87">
                  <c:v>8809315.4496745728</c:v>
                </c:pt>
                <c:pt idx="88">
                  <c:v>8809315.4496745728</c:v>
                </c:pt>
                <c:pt idx="89">
                  <c:v>8809315.4496745728</c:v>
                </c:pt>
                <c:pt idx="90">
                  <c:v>8809315.4496745728</c:v>
                </c:pt>
                <c:pt idx="91">
                  <c:v>8809315.4496745728</c:v>
                </c:pt>
                <c:pt idx="92">
                  <c:v>8809315.4496745728</c:v>
                </c:pt>
                <c:pt idx="93">
                  <c:v>8809315.4496745728</c:v>
                </c:pt>
                <c:pt idx="94">
                  <c:v>8809315.4496745728</c:v>
                </c:pt>
                <c:pt idx="95">
                  <c:v>8809315.4496745728</c:v>
                </c:pt>
                <c:pt idx="96">
                  <c:v>8809315.4496745728</c:v>
                </c:pt>
                <c:pt idx="97">
                  <c:v>8809315.4496745728</c:v>
                </c:pt>
                <c:pt idx="98">
                  <c:v>8809315.4496745728</c:v>
                </c:pt>
                <c:pt idx="99">
                  <c:v>8809315.4496745728</c:v>
                </c:pt>
                <c:pt idx="100">
                  <c:v>8809315.4496745728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2-4412-96B6-13AC27E214CD}"/>
            </c:ext>
          </c:extLst>
        </c:ser>
        <c:ser>
          <c:idx val="1"/>
          <c:order val="3"/>
          <c:tx>
            <c:v>CV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'F-2 Estructura'!$L$55:$L$155</c:f>
              <c:numCache>
                <c:formatCode>_ "$"\ * #,##0.00_ ;_ "$"\ * \-#,##0.00_ ;_ "$"\ * "-"??_ ;_ @_ </c:formatCode>
                <c:ptCount val="101"/>
                <c:pt idx="0" formatCode="_-&quot;$&quot;* #,##0.00_-;\-&quot;$&quot;* #,##0.00_-;_-&quot;$&quot;* &quot;-&quot;??_-;_-@_-">
                  <c:v>8809315.4496745728</c:v>
                </c:pt>
                <c:pt idx="1">
                  <c:v>8911487.6355945729</c:v>
                </c:pt>
                <c:pt idx="2">
                  <c:v>9013659.8215145729</c:v>
                </c:pt>
                <c:pt idx="3">
                  <c:v>9115832.007434573</c:v>
                </c:pt>
                <c:pt idx="4">
                  <c:v>9218004.1933545731</c:v>
                </c:pt>
                <c:pt idx="5">
                  <c:v>9320176.3792745732</c:v>
                </c:pt>
                <c:pt idx="6">
                  <c:v>9422348.5651945733</c:v>
                </c:pt>
                <c:pt idx="7">
                  <c:v>9524520.7511145733</c:v>
                </c:pt>
                <c:pt idx="8">
                  <c:v>9626692.9370345734</c:v>
                </c:pt>
                <c:pt idx="9">
                  <c:v>9728865.1229545735</c:v>
                </c:pt>
                <c:pt idx="10">
                  <c:v>9831037.3088745736</c:v>
                </c:pt>
                <c:pt idx="11">
                  <c:v>9933209.4947945736</c:v>
                </c:pt>
                <c:pt idx="12">
                  <c:v>10035381.680714574</c:v>
                </c:pt>
                <c:pt idx="13">
                  <c:v>10137553.866634574</c:v>
                </c:pt>
                <c:pt idx="14">
                  <c:v>10239726.052554574</c:v>
                </c:pt>
                <c:pt idx="15">
                  <c:v>10341898.238474574</c:v>
                </c:pt>
                <c:pt idx="16">
                  <c:v>10444070.424394574</c:v>
                </c:pt>
                <c:pt idx="17">
                  <c:v>10546242.610314574</c:v>
                </c:pt>
                <c:pt idx="18">
                  <c:v>10648414.796234574</c:v>
                </c:pt>
                <c:pt idx="19">
                  <c:v>10750586.982154574</c:v>
                </c:pt>
                <c:pt idx="20">
                  <c:v>10852759.168074574</c:v>
                </c:pt>
                <c:pt idx="21">
                  <c:v>10954931.353994574</c:v>
                </c:pt>
                <c:pt idx="22">
                  <c:v>11057103.539914574</c:v>
                </c:pt>
                <c:pt idx="23">
                  <c:v>11159275.725834575</c:v>
                </c:pt>
                <c:pt idx="24">
                  <c:v>11261447.911754575</c:v>
                </c:pt>
                <c:pt idx="25">
                  <c:v>11363620.097674575</c:v>
                </c:pt>
                <c:pt idx="26">
                  <c:v>11465792.283594575</c:v>
                </c:pt>
                <c:pt idx="27">
                  <c:v>11567964.469514575</c:v>
                </c:pt>
                <c:pt idx="28">
                  <c:v>11670136.655434575</c:v>
                </c:pt>
                <c:pt idx="29">
                  <c:v>11772308.841354575</c:v>
                </c:pt>
                <c:pt idx="30">
                  <c:v>11874481.027274575</c:v>
                </c:pt>
                <c:pt idx="31">
                  <c:v>11976653.213194575</c:v>
                </c:pt>
                <c:pt idx="32">
                  <c:v>12078825.399114575</c:v>
                </c:pt>
                <c:pt idx="33">
                  <c:v>12180997.585034575</c:v>
                </c:pt>
                <c:pt idx="34">
                  <c:v>12283169.770954575</c:v>
                </c:pt>
                <c:pt idx="35">
                  <c:v>12385341.956874575</c:v>
                </c:pt>
                <c:pt idx="36">
                  <c:v>12487514.142794576</c:v>
                </c:pt>
                <c:pt idx="37">
                  <c:v>12589686.328714576</c:v>
                </c:pt>
                <c:pt idx="38">
                  <c:v>12691858.514634576</c:v>
                </c:pt>
                <c:pt idx="39">
                  <c:v>12794030.700554576</c:v>
                </c:pt>
                <c:pt idx="40">
                  <c:v>12896202.886474576</c:v>
                </c:pt>
                <c:pt idx="41">
                  <c:v>12998375.072394576</c:v>
                </c:pt>
                <c:pt idx="42">
                  <c:v>13100547.258314576</c:v>
                </c:pt>
                <c:pt idx="43">
                  <c:v>13202719.444234576</c:v>
                </c:pt>
                <c:pt idx="44">
                  <c:v>13304891.630154576</c:v>
                </c:pt>
                <c:pt idx="45">
                  <c:v>13407063.816074576</c:v>
                </c:pt>
                <c:pt idx="46">
                  <c:v>13509236.001994576</c:v>
                </c:pt>
                <c:pt idx="47">
                  <c:v>13611408.187914576</c:v>
                </c:pt>
                <c:pt idx="48">
                  <c:v>13713580.373834576</c:v>
                </c:pt>
                <c:pt idx="49">
                  <c:v>13815752.559754577</c:v>
                </c:pt>
                <c:pt idx="50">
                  <c:v>13917924.745674577</c:v>
                </c:pt>
                <c:pt idx="51">
                  <c:v>14020096.931594577</c:v>
                </c:pt>
                <c:pt idx="52">
                  <c:v>14122269.117514577</c:v>
                </c:pt>
                <c:pt idx="53">
                  <c:v>14224441.303434577</c:v>
                </c:pt>
                <c:pt idx="54">
                  <c:v>14326613.489354577</c:v>
                </c:pt>
                <c:pt idx="55">
                  <c:v>14428785.675274577</c:v>
                </c:pt>
                <c:pt idx="56">
                  <c:v>14530957.861194577</c:v>
                </c:pt>
                <c:pt idx="57">
                  <c:v>14633130.047114577</c:v>
                </c:pt>
                <c:pt idx="58">
                  <c:v>14735302.233034577</c:v>
                </c:pt>
                <c:pt idx="59">
                  <c:v>14837474.418954577</c:v>
                </c:pt>
                <c:pt idx="60">
                  <c:v>14939646.604874577</c:v>
                </c:pt>
                <c:pt idx="61">
                  <c:v>15041818.790794577</c:v>
                </c:pt>
                <c:pt idx="62">
                  <c:v>15143990.976714578</c:v>
                </c:pt>
                <c:pt idx="63">
                  <c:v>15246163.162634578</c:v>
                </c:pt>
                <c:pt idx="64">
                  <c:v>15348335.348554578</c:v>
                </c:pt>
                <c:pt idx="65">
                  <c:v>15450507.534474578</c:v>
                </c:pt>
                <c:pt idx="66">
                  <c:v>15552679.720394578</c:v>
                </c:pt>
                <c:pt idx="67">
                  <c:v>15654851.906314578</c:v>
                </c:pt>
                <c:pt idx="68">
                  <c:v>15757024.092234578</c:v>
                </c:pt>
                <c:pt idx="69">
                  <c:v>15859196.278154578</c:v>
                </c:pt>
                <c:pt idx="70">
                  <c:v>15961368.464074578</c:v>
                </c:pt>
                <c:pt idx="71">
                  <c:v>16063540.649994578</c:v>
                </c:pt>
                <c:pt idx="72">
                  <c:v>16165712.835914578</c:v>
                </c:pt>
                <c:pt idx="73">
                  <c:v>16267885.021834578</c:v>
                </c:pt>
                <c:pt idx="74">
                  <c:v>16370057.207754578</c:v>
                </c:pt>
                <c:pt idx="75">
                  <c:v>16472229.393674579</c:v>
                </c:pt>
                <c:pt idx="76">
                  <c:v>16574401.579594579</c:v>
                </c:pt>
                <c:pt idx="77">
                  <c:v>16676573.765514579</c:v>
                </c:pt>
                <c:pt idx="78">
                  <c:v>16778745.951434579</c:v>
                </c:pt>
                <c:pt idx="79">
                  <c:v>16880918.137354579</c:v>
                </c:pt>
                <c:pt idx="80">
                  <c:v>16983090.323274579</c:v>
                </c:pt>
                <c:pt idx="81">
                  <c:v>17085262.509194579</c:v>
                </c:pt>
                <c:pt idx="82">
                  <c:v>17187434.695114579</c:v>
                </c:pt>
                <c:pt idx="83">
                  <c:v>17289606.881034579</c:v>
                </c:pt>
                <c:pt idx="84">
                  <c:v>17391779.066954579</c:v>
                </c:pt>
                <c:pt idx="85">
                  <c:v>17493951.252874579</c:v>
                </c:pt>
                <c:pt idx="86">
                  <c:v>17596123.438794579</c:v>
                </c:pt>
                <c:pt idx="87">
                  <c:v>17698295.624714579</c:v>
                </c:pt>
                <c:pt idx="88">
                  <c:v>17800467.81063458</c:v>
                </c:pt>
                <c:pt idx="89">
                  <c:v>17902639.99655458</c:v>
                </c:pt>
                <c:pt idx="90">
                  <c:v>18004812.18247458</c:v>
                </c:pt>
                <c:pt idx="91">
                  <c:v>18106984.36839458</c:v>
                </c:pt>
                <c:pt idx="92">
                  <c:v>18209156.55431458</c:v>
                </c:pt>
                <c:pt idx="93">
                  <c:v>18311328.74023458</c:v>
                </c:pt>
                <c:pt idx="94">
                  <c:v>18413500.92615458</c:v>
                </c:pt>
                <c:pt idx="95">
                  <c:v>18515673.11207458</c:v>
                </c:pt>
                <c:pt idx="96">
                  <c:v>18617845.29799458</c:v>
                </c:pt>
                <c:pt idx="97">
                  <c:v>18720017.48391458</c:v>
                </c:pt>
                <c:pt idx="98">
                  <c:v>18822189.66983458</c:v>
                </c:pt>
                <c:pt idx="99">
                  <c:v>18924361.85575458</c:v>
                </c:pt>
                <c:pt idx="100">
                  <c:v>19026534.04167458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8B2-4412-96B6-13AC27E214CD}"/>
            </c:ext>
          </c:extLst>
        </c:ser>
        <c:ser>
          <c:idx val="4"/>
          <c:order val="4"/>
          <c:tx>
            <c:v>CT Año 5</c:v>
          </c:tx>
          <c:spPr>
            <a:ln w="28575"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'F-2 Estructura'!$K$55:$K$155</c:f>
              <c:numCache>
                <c:formatCode>_(\$* #,##0.00_);_(\$* \(#,##0.00\);_(\$* \-??_);_(@_)</c:formatCode>
                <c:ptCount val="101"/>
                <c:pt idx="0">
                  <c:v>19026534.041674573</c:v>
                </c:pt>
                <c:pt idx="1">
                  <c:v>19026534.041674573</c:v>
                </c:pt>
                <c:pt idx="2">
                  <c:v>19026534.041674573</c:v>
                </c:pt>
                <c:pt idx="3">
                  <c:v>19026534.041674573</c:v>
                </c:pt>
                <c:pt idx="4">
                  <c:v>19026534.041674573</c:v>
                </c:pt>
                <c:pt idx="5">
                  <c:v>19026534.041674573</c:v>
                </c:pt>
                <c:pt idx="6">
                  <c:v>19026534.041674573</c:v>
                </c:pt>
                <c:pt idx="7">
                  <c:v>19026534.041674573</c:v>
                </c:pt>
                <c:pt idx="8">
                  <c:v>19026534.041674573</c:v>
                </c:pt>
                <c:pt idx="9">
                  <c:v>19026534.041674573</c:v>
                </c:pt>
                <c:pt idx="10">
                  <c:v>19026534.041674573</c:v>
                </c:pt>
                <c:pt idx="11">
                  <c:v>19026534.041674573</c:v>
                </c:pt>
                <c:pt idx="12">
                  <c:v>19026534.041674573</c:v>
                </c:pt>
                <c:pt idx="13">
                  <c:v>19026534.041674573</c:v>
                </c:pt>
                <c:pt idx="14">
                  <c:v>19026534.041674573</c:v>
                </c:pt>
                <c:pt idx="15">
                  <c:v>19026534.041674573</c:v>
                </c:pt>
                <c:pt idx="16">
                  <c:v>19026534.041674573</c:v>
                </c:pt>
                <c:pt idx="17">
                  <c:v>19026534.041674573</c:v>
                </c:pt>
                <c:pt idx="18">
                  <c:v>19026534.041674573</c:v>
                </c:pt>
                <c:pt idx="19">
                  <c:v>19026534.041674573</c:v>
                </c:pt>
                <c:pt idx="20">
                  <c:v>19026534.041674573</c:v>
                </c:pt>
                <c:pt idx="21">
                  <c:v>19026534.041674573</c:v>
                </c:pt>
                <c:pt idx="22">
                  <c:v>19026534.041674573</c:v>
                </c:pt>
                <c:pt idx="23">
                  <c:v>19026534.041674573</c:v>
                </c:pt>
                <c:pt idx="24">
                  <c:v>19026534.041674573</c:v>
                </c:pt>
                <c:pt idx="25">
                  <c:v>19026534.041674573</c:v>
                </c:pt>
                <c:pt idx="26">
                  <c:v>19026534.041674573</c:v>
                </c:pt>
                <c:pt idx="27">
                  <c:v>19026534.041674573</c:v>
                </c:pt>
                <c:pt idx="28">
                  <c:v>19026534.041674573</c:v>
                </c:pt>
                <c:pt idx="29">
                  <c:v>19026534.041674573</c:v>
                </c:pt>
                <c:pt idx="30">
                  <c:v>19026534.041674573</c:v>
                </c:pt>
                <c:pt idx="31">
                  <c:v>19026534.041674573</c:v>
                </c:pt>
                <c:pt idx="32">
                  <c:v>19026534.041674573</c:v>
                </c:pt>
                <c:pt idx="33">
                  <c:v>19026534.041674573</c:v>
                </c:pt>
                <c:pt idx="34">
                  <c:v>19026534.041674573</c:v>
                </c:pt>
                <c:pt idx="35">
                  <c:v>19026534.041674573</c:v>
                </c:pt>
                <c:pt idx="36">
                  <c:v>19026534.041674573</c:v>
                </c:pt>
                <c:pt idx="37">
                  <c:v>19026534.041674573</c:v>
                </c:pt>
                <c:pt idx="38">
                  <c:v>19026534.041674573</c:v>
                </c:pt>
                <c:pt idx="39">
                  <c:v>19026534.041674573</c:v>
                </c:pt>
                <c:pt idx="40">
                  <c:v>19026534.041674573</c:v>
                </c:pt>
                <c:pt idx="41">
                  <c:v>19026534.041674573</c:v>
                </c:pt>
                <c:pt idx="42">
                  <c:v>19026534.041674573</c:v>
                </c:pt>
                <c:pt idx="43">
                  <c:v>19026534.041674573</c:v>
                </c:pt>
                <c:pt idx="44">
                  <c:v>19026534.041674573</c:v>
                </c:pt>
                <c:pt idx="45">
                  <c:v>19026534.041674573</c:v>
                </c:pt>
                <c:pt idx="46">
                  <c:v>19026534.041674573</c:v>
                </c:pt>
                <c:pt idx="47">
                  <c:v>19026534.041674573</c:v>
                </c:pt>
                <c:pt idx="48">
                  <c:v>19026534.041674573</c:v>
                </c:pt>
                <c:pt idx="49">
                  <c:v>19026534.041674573</c:v>
                </c:pt>
                <c:pt idx="50">
                  <c:v>19026534.041674573</c:v>
                </c:pt>
                <c:pt idx="51">
                  <c:v>19026534.041674573</c:v>
                </c:pt>
                <c:pt idx="52">
                  <c:v>19026534.041674573</c:v>
                </c:pt>
                <c:pt idx="53">
                  <c:v>19026534.041674573</c:v>
                </c:pt>
                <c:pt idx="54">
                  <c:v>19026534.041674573</c:v>
                </c:pt>
                <c:pt idx="55">
                  <c:v>19026534.041674573</c:v>
                </c:pt>
                <c:pt idx="56">
                  <c:v>19026534.041674573</c:v>
                </c:pt>
                <c:pt idx="57">
                  <c:v>19026534.041674573</c:v>
                </c:pt>
                <c:pt idx="58">
                  <c:v>19026534.041674573</c:v>
                </c:pt>
                <c:pt idx="59">
                  <c:v>19026534.041674573</c:v>
                </c:pt>
                <c:pt idx="60">
                  <c:v>19026534.041674573</c:v>
                </c:pt>
                <c:pt idx="61">
                  <c:v>19026534.041674573</c:v>
                </c:pt>
                <c:pt idx="62">
                  <c:v>19026534.041674573</c:v>
                </c:pt>
                <c:pt idx="63">
                  <c:v>19026534.041674573</c:v>
                </c:pt>
                <c:pt idx="64">
                  <c:v>19026534.041674573</c:v>
                </c:pt>
                <c:pt idx="65">
                  <c:v>19026534.041674573</c:v>
                </c:pt>
                <c:pt idx="66">
                  <c:v>19026534.041674573</c:v>
                </c:pt>
                <c:pt idx="67">
                  <c:v>19026534.041674573</c:v>
                </c:pt>
                <c:pt idx="68">
                  <c:v>19026534.041674573</c:v>
                </c:pt>
                <c:pt idx="69">
                  <c:v>19026534.041674573</c:v>
                </c:pt>
                <c:pt idx="70">
                  <c:v>19026534.041674573</c:v>
                </c:pt>
                <c:pt idx="71">
                  <c:v>19026534.041674573</c:v>
                </c:pt>
                <c:pt idx="72">
                  <c:v>19026534.041674573</c:v>
                </c:pt>
                <c:pt idx="73">
                  <c:v>19026534.041674573</c:v>
                </c:pt>
                <c:pt idx="74">
                  <c:v>19026534.041674573</c:v>
                </c:pt>
                <c:pt idx="75">
                  <c:v>19026534.041674573</c:v>
                </c:pt>
                <c:pt idx="76">
                  <c:v>19026534.041674573</c:v>
                </c:pt>
                <c:pt idx="77">
                  <c:v>19026534.041674573</c:v>
                </c:pt>
                <c:pt idx="78">
                  <c:v>19026534.041674573</c:v>
                </c:pt>
                <c:pt idx="79">
                  <c:v>19026534.041674573</c:v>
                </c:pt>
                <c:pt idx="80">
                  <c:v>19026534.041674573</c:v>
                </c:pt>
                <c:pt idx="81">
                  <c:v>19026534.041674573</c:v>
                </c:pt>
                <c:pt idx="82">
                  <c:v>19026534.041674573</c:v>
                </c:pt>
                <c:pt idx="83">
                  <c:v>19026534.041674573</c:v>
                </c:pt>
                <c:pt idx="84">
                  <c:v>19026534.041674573</c:v>
                </c:pt>
                <c:pt idx="85">
                  <c:v>19026534.041674573</c:v>
                </c:pt>
                <c:pt idx="86">
                  <c:v>19026534.041674573</c:v>
                </c:pt>
                <c:pt idx="87">
                  <c:v>19026534.041674573</c:v>
                </c:pt>
                <c:pt idx="88">
                  <c:v>19026534.041674573</c:v>
                </c:pt>
                <c:pt idx="89">
                  <c:v>19026534.041674573</c:v>
                </c:pt>
                <c:pt idx="90">
                  <c:v>19026534.041674573</c:v>
                </c:pt>
                <c:pt idx="91">
                  <c:v>19026534.041674573</c:v>
                </c:pt>
                <c:pt idx="92">
                  <c:v>19026534.041674573</c:v>
                </c:pt>
                <c:pt idx="93">
                  <c:v>19026534.041674573</c:v>
                </c:pt>
                <c:pt idx="94">
                  <c:v>19026534.041674573</c:v>
                </c:pt>
                <c:pt idx="95">
                  <c:v>19026534.041674573</c:v>
                </c:pt>
                <c:pt idx="96">
                  <c:v>19026534.041674573</c:v>
                </c:pt>
                <c:pt idx="97">
                  <c:v>19026534.041674573</c:v>
                </c:pt>
                <c:pt idx="98">
                  <c:v>19026534.041674573</c:v>
                </c:pt>
                <c:pt idx="99">
                  <c:v>19026534.041674573</c:v>
                </c:pt>
                <c:pt idx="100">
                  <c:v>19026534.041674573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8B2-4412-96B6-13AC27E214CD}"/>
            </c:ext>
          </c:extLst>
        </c:ser>
        <c:ser>
          <c:idx val="5"/>
          <c:order val="5"/>
          <c:tx>
            <c:v>CFT Año 1</c:v>
          </c:tx>
          <c:spPr>
            <a:ln w="28575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val>
            <c:numRef>
              <c:f>'F-2 Estructura'!$C$55:$C$155</c:f>
              <c:numCache>
                <c:formatCode>_(\$* #,##0.00_);_(\$* \(#,##0.00\);_(\$* \-??_);_(@_)</c:formatCode>
                <c:ptCount val="101"/>
                <c:pt idx="0">
                  <c:v>8853864.0393801853</c:v>
                </c:pt>
                <c:pt idx="1">
                  <c:v>8853864.0393801853</c:v>
                </c:pt>
                <c:pt idx="2">
                  <c:v>8853864.0393801853</c:v>
                </c:pt>
                <c:pt idx="3">
                  <c:v>8853864.0393801853</c:v>
                </c:pt>
                <c:pt idx="4">
                  <c:v>8853864.0393801853</c:v>
                </c:pt>
                <c:pt idx="5">
                  <c:v>8853864.0393801853</c:v>
                </c:pt>
                <c:pt idx="6">
                  <c:v>8853864.0393801853</c:v>
                </c:pt>
                <c:pt idx="7">
                  <c:v>8853864.0393801853</c:v>
                </c:pt>
                <c:pt idx="8">
                  <c:v>8853864.0393801853</c:v>
                </c:pt>
                <c:pt idx="9">
                  <c:v>8853864.0393801853</c:v>
                </c:pt>
                <c:pt idx="10">
                  <c:v>8853864.0393801853</c:v>
                </c:pt>
                <c:pt idx="11">
                  <c:v>8853864.0393801853</c:v>
                </c:pt>
                <c:pt idx="12">
                  <c:v>8853864.0393801853</c:v>
                </c:pt>
                <c:pt idx="13">
                  <c:v>8853864.0393801853</c:v>
                </c:pt>
                <c:pt idx="14">
                  <c:v>8853864.0393801853</c:v>
                </c:pt>
                <c:pt idx="15">
                  <c:v>8853864.0393801853</c:v>
                </c:pt>
                <c:pt idx="16">
                  <c:v>8853864.0393801853</c:v>
                </c:pt>
                <c:pt idx="17">
                  <c:v>8853864.0393801853</c:v>
                </c:pt>
                <c:pt idx="18">
                  <c:v>8853864.0393801853</c:v>
                </c:pt>
                <c:pt idx="19">
                  <c:v>8853864.0393801853</c:v>
                </c:pt>
                <c:pt idx="20">
                  <c:v>8853864.0393801853</c:v>
                </c:pt>
                <c:pt idx="21">
                  <c:v>8853864.0393801853</c:v>
                </c:pt>
                <c:pt idx="22">
                  <c:v>8853864.0393801853</c:v>
                </c:pt>
                <c:pt idx="23">
                  <c:v>8853864.0393801853</c:v>
                </c:pt>
                <c:pt idx="24">
                  <c:v>8853864.0393801853</c:v>
                </c:pt>
                <c:pt idx="25">
                  <c:v>8853864.0393801853</c:v>
                </c:pt>
                <c:pt idx="26">
                  <c:v>8853864.0393801853</c:v>
                </c:pt>
                <c:pt idx="27">
                  <c:v>8853864.0393801853</c:v>
                </c:pt>
                <c:pt idx="28">
                  <c:v>8853864.0393801853</c:v>
                </c:pt>
                <c:pt idx="29">
                  <c:v>8853864.0393801853</c:v>
                </c:pt>
                <c:pt idx="30">
                  <c:v>8853864.0393801853</c:v>
                </c:pt>
                <c:pt idx="31">
                  <c:v>8853864.0393801853</c:v>
                </c:pt>
                <c:pt idx="32">
                  <c:v>8853864.0393801853</c:v>
                </c:pt>
                <c:pt idx="33">
                  <c:v>8853864.0393801853</c:v>
                </c:pt>
                <c:pt idx="34">
                  <c:v>8853864.0393801853</c:v>
                </c:pt>
                <c:pt idx="35">
                  <c:v>8853864.0393801853</c:v>
                </c:pt>
                <c:pt idx="36">
                  <c:v>8853864.0393801853</c:v>
                </c:pt>
                <c:pt idx="37">
                  <c:v>8853864.0393801853</c:v>
                </c:pt>
                <c:pt idx="38">
                  <c:v>8853864.0393801853</c:v>
                </c:pt>
                <c:pt idx="39">
                  <c:v>8853864.0393801853</c:v>
                </c:pt>
                <c:pt idx="40">
                  <c:v>8853864.0393801853</c:v>
                </c:pt>
                <c:pt idx="41">
                  <c:v>8853864.0393801853</c:v>
                </c:pt>
                <c:pt idx="42">
                  <c:v>8853864.0393801853</c:v>
                </c:pt>
                <c:pt idx="43">
                  <c:v>8853864.0393801853</c:v>
                </c:pt>
                <c:pt idx="44">
                  <c:v>8853864.0393801853</c:v>
                </c:pt>
                <c:pt idx="45">
                  <c:v>8853864.0393801853</c:v>
                </c:pt>
                <c:pt idx="46">
                  <c:v>8853864.0393801853</c:v>
                </c:pt>
                <c:pt idx="47">
                  <c:v>8853864.0393801853</c:v>
                </c:pt>
                <c:pt idx="48">
                  <c:v>8853864.0393801853</c:v>
                </c:pt>
                <c:pt idx="49">
                  <c:v>8853864.0393801853</c:v>
                </c:pt>
                <c:pt idx="50">
                  <c:v>8853864.0393801853</c:v>
                </c:pt>
                <c:pt idx="51">
                  <c:v>8853864.0393801853</c:v>
                </c:pt>
                <c:pt idx="52">
                  <c:v>8853864.0393801853</c:v>
                </c:pt>
                <c:pt idx="53">
                  <c:v>8853864.0393801853</c:v>
                </c:pt>
                <c:pt idx="54">
                  <c:v>8853864.0393801853</c:v>
                </c:pt>
                <c:pt idx="55">
                  <c:v>8853864.0393801853</c:v>
                </c:pt>
                <c:pt idx="56">
                  <c:v>8853864.0393801853</c:v>
                </c:pt>
                <c:pt idx="57">
                  <c:v>8853864.0393801853</c:v>
                </c:pt>
                <c:pt idx="58">
                  <c:v>8853864.0393801853</c:v>
                </c:pt>
                <c:pt idx="59">
                  <c:v>8853864.0393801853</c:v>
                </c:pt>
                <c:pt idx="60">
                  <c:v>8853864.0393801853</c:v>
                </c:pt>
                <c:pt idx="61">
                  <c:v>8853864.0393801853</c:v>
                </c:pt>
                <c:pt idx="62">
                  <c:v>8853864.0393801853</c:v>
                </c:pt>
                <c:pt idx="63">
                  <c:v>8853864.0393801853</c:v>
                </c:pt>
                <c:pt idx="64">
                  <c:v>8853864.0393801853</c:v>
                </c:pt>
                <c:pt idx="65">
                  <c:v>8853864.0393801853</c:v>
                </c:pt>
                <c:pt idx="66">
                  <c:v>8853864.0393801853</c:v>
                </c:pt>
                <c:pt idx="67">
                  <c:v>8853864.0393801853</c:v>
                </c:pt>
                <c:pt idx="68">
                  <c:v>8853864.0393801853</c:v>
                </c:pt>
                <c:pt idx="69">
                  <c:v>8853864.0393801853</c:v>
                </c:pt>
                <c:pt idx="70">
                  <c:v>8853864.0393801853</c:v>
                </c:pt>
                <c:pt idx="71">
                  <c:v>8853864.0393801853</c:v>
                </c:pt>
                <c:pt idx="72">
                  <c:v>8853864.0393801853</c:v>
                </c:pt>
                <c:pt idx="73">
                  <c:v>8853864.0393801853</c:v>
                </c:pt>
                <c:pt idx="74">
                  <c:v>8853864.0393801853</c:v>
                </c:pt>
                <c:pt idx="75">
                  <c:v>8853864.0393801853</c:v>
                </c:pt>
                <c:pt idx="76">
                  <c:v>8853864.0393801853</c:v>
                </c:pt>
                <c:pt idx="77">
                  <c:v>8853864.0393801853</c:v>
                </c:pt>
                <c:pt idx="78">
                  <c:v>8853864.0393801853</c:v>
                </c:pt>
                <c:pt idx="79">
                  <c:v>8853864.0393801853</c:v>
                </c:pt>
                <c:pt idx="80">
                  <c:v>8853864.0393801853</c:v>
                </c:pt>
                <c:pt idx="81">
                  <c:v>8853864.0393801853</c:v>
                </c:pt>
                <c:pt idx="82">
                  <c:v>8853864.0393801853</c:v>
                </c:pt>
                <c:pt idx="83">
                  <c:v>8853864.0393801853</c:v>
                </c:pt>
                <c:pt idx="84">
                  <c:v>8853864.0393801853</c:v>
                </c:pt>
                <c:pt idx="85">
                  <c:v>8853864.0393801853</c:v>
                </c:pt>
                <c:pt idx="86">
                  <c:v>8853864.0393801853</c:v>
                </c:pt>
                <c:pt idx="87">
                  <c:v>8853864.0393801853</c:v>
                </c:pt>
                <c:pt idx="88">
                  <c:v>8853864.0393801853</c:v>
                </c:pt>
                <c:pt idx="89">
                  <c:v>8853864.0393801853</c:v>
                </c:pt>
                <c:pt idx="90">
                  <c:v>8853864.0393801853</c:v>
                </c:pt>
                <c:pt idx="91">
                  <c:v>8853864.0393801853</c:v>
                </c:pt>
                <c:pt idx="92">
                  <c:v>8853864.0393801853</c:v>
                </c:pt>
                <c:pt idx="93">
                  <c:v>8853864.0393801853</c:v>
                </c:pt>
                <c:pt idx="94">
                  <c:v>8853864.0393801853</c:v>
                </c:pt>
                <c:pt idx="95">
                  <c:v>8853864.0393801853</c:v>
                </c:pt>
                <c:pt idx="96">
                  <c:v>8853864.0393801853</c:v>
                </c:pt>
                <c:pt idx="97">
                  <c:v>8853864.0393801853</c:v>
                </c:pt>
                <c:pt idx="98">
                  <c:v>8853864.0393801853</c:v>
                </c:pt>
                <c:pt idx="99">
                  <c:v>8853864.0393801853</c:v>
                </c:pt>
                <c:pt idx="100">
                  <c:v>8853864.0393801853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B2-4412-96B6-13AC27E214CD}"/>
            </c:ext>
          </c:extLst>
        </c:ser>
        <c:ser>
          <c:idx val="6"/>
          <c:order val="6"/>
          <c:tx>
            <c:v>CV Año 1</c:v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'F-2 Estructura'!$F$55:$F$155</c:f>
              <c:numCache>
                <c:formatCode>_ "$"\ * #,##0.00_ ;_ "$"\ * \-#,##0.00_ ;_ "$"\ * "-"??_ ;_ @_ </c:formatCode>
                <c:ptCount val="101"/>
                <c:pt idx="0" formatCode="_-&quot;$&quot;* #,##0.00_-;\-&quot;$&quot;* #,##0.00_-;_-&quot;$&quot;* &quot;-&quot;??_-;_-@_-">
                  <c:v>8853864.0393801853</c:v>
                </c:pt>
                <c:pt idx="1">
                  <c:v>8946131.5346577857</c:v>
                </c:pt>
                <c:pt idx="2">
                  <c:v>9038399.029935386</c:v>
                </c:pt>
                <c:pt idx="3">
                  <c:v>9130666.5252129864</c:v>
                </c:pt>
                <c:pt idx="4">
                  <c:v>9222934.0204905868</c:v>
                </c:pt>
                <c:pt idx="5">
                  <c:v>9315201.5157681871</c:v>
                </c:pt>
                <c:pt idx="6">
                  <c:v>9407469.0110457875</c:v>
                </c:pt>
                <c:pt idx="7">
                  <c:v>9499736.5063233878</c:v>
                </c:pt>
                <c:pt idx="8">
                  <c:v>9592004.0016009882</c:v>
                </c:pt>
                <c:pt idx="9">
                  <c:v>9684271.4968785886</c:v>
                </c:pt>
                <c:pt idx="10">
                  <c:v>9776538.9921561889</c:v>
                </c:pt>
                <c:pt idx="11">
                  <c:v>9868806.4874337893</c:v>
                </c:pt>
                <c:pt idx="12">
                  <c:v>9961073.9827113897</c:v>
                </c:pt>
                <c:pt idx="13">
                  <c:v>10053341.47798899</c:v>
                </c:pt>
                <c:pt idx="14">
                  <c:v>10145608.97326659</c:v>
                </c:pt>
                <c:pt idx="15">
                  <c:v>10237876.468544191</c:v>
                </c:pt>
                <c:pt idx="16">
                  <c:v>10330143.963821791</c:v>
                </c:pt>
                <c:pt idx="17">
                  <c:v>10422411.459099391</c:v>
                </c:pt>
                <c:pt idx="18">
                  <c:v>10514678.954376992</c:v>
                </c:pt>
                <c:pt idx="19">
                  <c:v>10606946.449654592</c:v>
                </c:pt>
                <c:pt idx="20">
                  <c:v>10699213.944932193</c:v>
                </c:pt>
                <c:pt idx="21">
                  <c:v>10791481.440209793</c:v>
                </c:pt>
                <c:pt idx="22">
                  <c:v>10883748.935487393</c:v>
                </c:pt>
                <c:pt idx="23">
                  <c:v>10976016.430764994</c:v>
                </c:pt>
                <c:pt idx="24">
                  <c:v>11068283.926042594</c:v>
                </c:pt>
                <c:pt idx="25">
                  <c:v>11160551.421320194</c:v>
                </c:pt>
                <c:pt idx="26">
                  <c:v>11252818.916597795</c:v>
                </c:pt>
                <c:pt idx="27">
                  <c:v>11345086.411875395</c:v>
                </c:pt>
                <c:pt idx="28">
                  <c:v>11437353.907152995</c:v>
                </c:pt>
                <c:pt idx="29">
                  <c:v>11529621.402430596</c:v>
                </c:pt>
                <c:pt idx="30">
                  <c:v>11621888.897708196</c:v>
                </c:pt>
                <c:pt idx="31">
                  <c:v>11714156.392985797</c:v>
                </c:pt>
                <c:pt idx="32">
                  <c:v>11806423.888263397</c:v>
                </c:pt>
                <c:pt idx="33">
                  <c:v>11898691.383540997</c:v>
                </c:pt>
                <c:pt idx="34">
                  <c:v>11990958.878818598</c:v>
                </c:pt>
                <c:pt idx="35">
                  <c:v>12083226.374096198</c:v>
                </c:pt>
                <c:pt idx="36">
                  <c:v>12175493.869373798</c:v>
                </c:pt>
                <c:pt idx="37">
                  <c:v>12267761.364651399</c:v>
                </c:pt>
                <c:pt idx="38">
                  <c:v>12360028.859928999</c:v>
                </c:pt>
                <c:pt idx="39">
                  <c:v>12452296.355206599</c:v>
                </c:pt>
                <c:pt idx="40">
                  <c:v>12544563.8504842</c:v>
                </c:pt>
                <c:pt idx="41">
                  <c:v>12636831.3457618</c:v>
                </c:pt>
                <c:pt idx="42">
                  <c:v>12729098.841039401</c:v>
                </c:pt>
                <c:pt idx="43">
                  <c:v>12821366.336317001</c:v>
                </c:pt>
                <c:pt idx="44">
                  <c:v>12913633.831594601</c:v>
                </c:pt>
                <c:pt idx="45">
                  <c:v>13005901.326872202</c:v>
                </c:pt>
                <c:pt idx="46">
                  <c:v>13098168.822149802</c:v>
                </c:pt>
                <c:pt idx="47">
                  <c:v>13190436.317427402</c:v>
                </c:pt>
                <c:pt idx="48">
                  <c:v>13282703.812705003</c:v>
                </c:pt>
                <c:pt idx="49">
                  <c:v>13374971.307982603</c:v>
                </c:pt>
                <c:pt idx="50">
                  <c:v>13467238.803260203</c:v>
                </c:pt>
                <c:pt idx="51">
                  <c:v>13559506.298537804</c:v>
                </c:pt>
                <c:pt idx="52">
                  <c:v>13651773.793815404</c:v>
                </c:pt>
                <c:pt idx="53">
                  <c:v>13744041.289093005</c:v>
                </c:pt>
                <c:pt idx="54">
                  <c:v>13836308.784370605</c:v>
                </c:pt>
                <c:pt idx="55">
                  <c:v>13928576.279648205</c:v>
                </c:pt>
                <c:pt idx="56">
                  <c:v>14020843.774925806</c:v>
                </c:pt>
                <c:pt idx="57">
                  <c:v>14113111.270203406</c:v>
                </c:pt>
                <c:pt idx="58">
                  <c:v>14205378.765481006</c:v>
                </c:pt>
                <c:pt idx="59">
                  <c:v>14297646.260758607</c:v>
                </c:pt>
                <c:pt idx="60">
                  <c:v>14389913.756036207</c:v>
                </c:pt>
                <c:pt idx="61">
                  <c:v>14482181.251313807</c:v>
                </c:pt>
                <c:pt idx="62">
                  <c:v>14574448.746591408</c:v>
                </c:pt>
                <c:pt idx="63">
                  <c:v>14666716.241869008</c:v>
                </c:pt>
                <c:pt idx="64">
                  <c:v>14758983.737146609</c:v>
                </c:pt>
                <c:pt idx="65">
                  <c:v>14851251.232424209</c:v>
                </c:pt>
                <c:pt idx="66">
                  <c:v>14943518.727701809</c:v>
                </c:pt>
                <c:pt idx="67">
                  <c:v>15035786.22297941</c:v>
                </c:pt>
                <c:pt idx="68">
                  <c:v>15128053.71825701</c:v>
                </c:pt>
                <c:pt idx="69">
                  <c:v>15220321.21353461</c:v>
                </c:pt>
                <c:pt idx="70">
                  <c:v>15312588.708812211</c:v>
                </c:pt>
                <c:pt idx="71">
                  <c:v>15404856.204089811</c:v>
                </c:pt>
                <c:pt idx="72">
                  <c:v>15497123.699367411</c:v>
                </c:pt>
                <c:pt idx="73">
                  <c:v>15589391.194645012</c:v>
                </c:pt>
                <c:pt idx="74">
                  <c:v>15681658.689922612</c:v>
                </c:pt>
                <c:pt idx="75">
                  <c:v>15773926.185200213</c:v>
                </c:pt>
                <c:pt idx="76">
                  <c:v>15866193.680477813</c:v>
                </c:pt>
                <c:pt idx="77">
                  <c:v>15958461.175755413</c:v>
                </c:pt>
                <c:pt idx="78">
                  <c:v>16050728.671033014</c:v>
                </c:pt>
                <c:pt idx="79">
                  <c:v>16142996.166310614</c:v>
                </c:pt>
                <c:pt idx="80">
                  <c:v>16235263.661588214</c:v>
                </c:pt>
                <c:pt idx="81">
                  <c:v>16327531.156865815</c:v>
                </c:pt>
                <c:pt idx="82">
                  <c:v>16419798.652143415</c:v>
                </c:pt>
                <c:pt idx="83">
                  <c:v>16512066.147421015</c:v>
                </c:pt>
                <c:pt idx="84">
                  <c:v>16604333.642698616</c:v>
                </c:pt>
                <c:pt idx="85">
                  <c:v>16696601.137976216</c:v>
                </c:pt>
                <c:pt idx="86">
                  <c:v>16788868.633253817</c:v>
                </c:pt>
                <c:pt idx="87">
                  <c:v>16881136.128531415</c:v>
                </c:pt>
                <c:pt idx="88">
                  <c:v>16973403.623809014</c:v>
                </c:pt>
                <c:pt idx="89">
                  <c:v>17065671.119086612</c:v>
                </c:pt>
                <c:pt idx="90">
                  <c:v>17157938.614364211</c:v>
                </c:pt>
                <c:pt idx="91">
                  <c:v>17250206.109641809</c:v>
                </c:pt>
                <c:pt idx="92">
                  <c:v>17342473.604919408</c:v>
                </c:pt>
                <c:pt idx="93">
                  <c:v>17434741.100197006</c:v>
                </c:pt>
                <c:pt idx="94">
                  <c:v>17527008.595474605</c:v>
                </c:pt>
                <c:pt idx="95">
                  <c:v>17619276.090752203</c:v>
                </c:pt>
                <c:pt idx="96">
                  <c:v>17711543.586029802</c:v>
                </c:pt>
                <c:pt idx="97">
                  <c:v>17803811.0813074</c:v>
                </c:pt>
                <c:pt idx="98">
                  <c:v>17896078.576584999</c:v>
                </c:pt>
                <c:pt idx="99">
                  <c:v>17988346.071862597</c:v>
                </c:pt>
                <c:pt idx="100">
                  <c:v>18080613.567140196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8B2-4412-96B6-13AC27E214CD}"/>
            </c:ext>
          </c:extLst>
        </c:ser>
        <c:ser>
          <c:idx val="7"/>
          <c:order val="7"/>
          <c:tx>
            <c:v>CT Año 1</c:v>
          </c:tx>
          <c:spPr>
            <a:ln w="28575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val>
            <c:numRef>
              <c:f>'F-2 Estructura'!$E$55:$E$155</c:f>
              <c:numCache>
                <c:formatCode>_(\$* #,##0.00_);_(\$* \(#,##0.00\);_(\$* \-??_);_(@_)</c:formatCode>
                <c:ptCount val="101"/>
                <c:pt idx="0">
                  <c:v>18080613.567140184</c:v>
                </c:pt>
                <c:pt idx="1">
                  <c:v>18080613.567140184</c:v>
                </c:pt>
                <c:pt idx="2">
                  <c:v>18080613.567140184</c:v>
                </c:pt>
                <c:pt idx="3">
                  <c:v>18080613.567140184</c:v>
                </c:pt>
                <c:pt idx="4">
                  <c:v>18080613.567140184</c:v>
                </c:pt>
                <c:pt idx="5">
                  <c:v>18080613.567140184</c:v>
                </c:pt>
                <c:pt idx="6">
                  <c:v>18080613.567140184</c:v>
                </c:pt>
                <c:pt idx="7">
                  <c:v>18080613.567140184</c:v>
                </c:pt>
                <c:pt idx="8">
                  <c:v>18080613.567140184</c:v>
                </c:pt>
                <c:pt idx="9">
                  <c:v>18080613.567140184</c:v>
                </c:pt>
                <c:pt idx="10">
                  <c:v>18080613.567140184</c:v>
                </c:pt>
                <c:pt idx="11">
                  <c:v>18080613.567140184</c:v>
                </c:pt>
                <c:pt idx="12">
                  <c:v>18080613.567140184</c:v>
                </c:pt>
                <c:pt idx="13">
                  <c:v>18080613.567140184</c:v>
                </c:pt>
                <c:pt idx="14">
                  <c:v>18080613.567140184</c:v>
                </c:pt>
                <c:pt idx="15">
                  <c:v>18080613.567140184</c:v>
                </c:pt>
                <c:pt idx="16">
                  <c:v>18080613.567140184</c:v>
                </c:pt>
                <c:pt idx="17">
                  <c:v>18080613.567140184</c:v>
                </c:pt>
                <c:pt idx="18">
                  <c:v>18080613.567140184</c:v>
                </c:pt>
                <c:pt idx="19">
                  <c:v>18080613.567140184</c:v>
                </c:pt>
                <c:pt idx="20">
                  <c:v>18080613.567140184</c:v>
                </c:pt>
                <c:pt idx="21">
                  <c:v>18080613.567140184</c:v>
                </c:pt>
                <c:pt idx="22">
                  <c:v>18080613.567140184</c:v>
                </c:pt>
                <c:pt idx="23">
                  <c:v>18080613.567140184</c:v>
                </c:pt>
                <c:pt idx="24">
                  <c:v>18080613.567140184</c:v>
                </c:pt>
                <c:pt idx="25">
                  <c:v>18080613.567140184</c:v>
                </c:pt>
                <c:pt idx="26">
                  <c:v>18080613.567140184</c:v>
                </c:pt>
                <c:pt idx="27">
                  <c:v>18080613.567140184</c:v>
                </c:pt>
                <c:pt idx="28">
                  <c:v>18080613.567140184</c:v>
                </c:pt>
                <c:pt idx="29">
                  <c:v>18080613.567140184</c:v>
                </c:pt>
                <c:pt idx="30">
                  <c:v>18080613.567140184</c:v>
                </c:pt>
                <c:pt idx="31">
                  <c:v>18080613.567140184</c:v>
                </c:pt>
                <c:pt idx="32">
                  <c:v>18080613.567140184</c:v>
                </c:pt>
                <c:pt idx="33">
                  <c:v>18080613.567140184</c:v>
                </c:pt>
                <c:pt idx="34">
                  <c:v>18080613.567140184</c:v>
                </c:pt>
                <c:pt idx="35">
                  <c:v>18080613.567140184</c:v>
                </c:pt>
                <c:pt idx="36">
                  <c:v>18080613.567140184</c:v>
                </c:pt>
                <c:pt idx="37">
                  <c:v>18080613.567140184</c:v>
                </c:pt>
                <c:pt idx="38">
                  <c:v>18080613.567140184</c:v>
                </c:pt>
                <c:pt idx="39">
                  <c:v>18080613.567140184</c:v>
                </c:pt>
                <c:pt idx="40">
                  <c:v>18080613.567140184</c:v>
                </c:pt>
                <c:pt idx="41">
                  <c:v>18080613.567140184</c:v>
                </c:pt>
                <c:pt idx="42">
                  <c:v>18080613.567140184</c:v>
                </c:pt>
                <c:pt idx="43">
                  <c:v>18080613.567140184</c:v>
                </c:pt>
                <c:pt idx="44">
                  <c:v>18080613.567140184</c:v>
                </c:pt>
                <c:pt idx="45">
                  <c:v>18080613.567140184</c:v>
                </c:pt>
                <c:pt idx="46">
                  <c:v>18080613.567140184</c:v>
                </c:pt>
                <c:pt idx="47">
                  <c:v>18080613.567140184</c:v>
                </c:pt>
                <c:pt idx="48">
                  <c:v>18080613.567140184</c:v>
                </c:pt>
                <c:pt idx="49">
                  <c:v>18080613.567140184</c:v>
                </c:pt>
                <c:pt idx="50">
                  <c:v>18080613.567140184</c:v>
                </c:pt>
                <c:pt idx="51">
                  <c:v>18080613.567140184</c:v>
                </c:pt>
                <c:pt idx="52">
                  <c:v>18080613.567140184</c:v>
                </c:pt>
                <c:pt idx="53">
                  <c:v>18080613.567140184</c:v>
                </c:pt>
                <c:pt idx="54">
                  <c:v>18080613.567140184</c:v>
                </c:pt>
                <c:pt idx="55">
                  <c:v>18080613.567140184</c:v>
                </c:pt>
                <c:pt idx="56">
                  <c:v>18080613.567140184</c:v>
                </c:pt>
                <c:pt idx="57">
                  <c:v>18080613.567140184</c:v>
                </c:pt>
                <c:pt idx="58">
                  <c:v>18080613.567140184</c:v>
                </c:pt>
                <c:pt idx="59">
                  <c:v>18080613.567140184</c:v>
                </c:pt>
                <c:pt idx="60">
                  <c:v>18080613.567140184</c:v>
                </c:pt>
                <c:pt idx="61">
                  <c:v>18080613.567140184</c:v>
                </c:pt>
                <c:pt idx="62">
                  <c:v>18080613.567140184</c:v>
                </c:pt>
                <c:pt idx="63">
                  <c:v>18080613.567140184</c:v>
                </c:pt>
                <c:pt idx="64">
                  <c:v>18080613.567140184</c:v>
                </c:pt>
                <c:pt idx="65">
                  <c:v>18080613.567140184</c:v>
                </c:pt>
                <c:pt idx="66">
                  <c:v>18080613.567140184</c:v>
                </c:pt>
                <c:pt idx="67">
                  <c:v>18080613.567140184</c:v>
                </c:pt>
                <c:pt idx="68">
                  <c:v>18080613.567140184</c:v>
                </c:pt>
                <c:pt idx="69">
                  <c:v>18080613.567140184</c:v>
                </c:pt>
                <c:pt idx="70">
                  <c:v>18080613.567140184</c:v>
                </c:pt>
                <c:pt idx="71">
                  <c:v>18080613.567140184</c:v>
                </c:pt>
                <c:pt idx="72">
                  <c:v>18080613.567140184</c:v>
                </c:pt>
                <c:pt idx="73">
                  <c:v>18080613.567140184</c:v>
                </c:pt>
                <c:pt idx="74">
                  <c:v>18080613.567140184</c:v>
                </c:pt>
                <c:pt idx="75">
                  <c:v>18080613.567140184</c:v>
                </c:pt>
                <c:pt idx="76">
                  <c:v>18080613.567140184</c:v>
                </c:pt>
                <c:pt idx="77">
                  <c:v>18080613.567140184</c:v>
                </c:pt>
                <c:pt idx="78">
                  <c:v>18080613.567140184</c:v>
                </c:pt>
                <c:pt idx="79">
                  <c:v>18080613.567140184</c:v>
                </c:pt>
                <c:pt idx="80">
                  <c:v>18080613.567140184</c:v>
                </c:pt>
                <c:pt idx="81">
                  <c:v>18080613.567140184</c:v>
                </c:pt>
                <c:pt idx="82">
                  <c:v>18080613.567140184</c:v>
                </c:pt>
                <c:pt idx="83">
                  <c:v>18080613.567140184</c:v>
                </c:pt>
                <c:pt idx="84">
                  <c:v>18080613.567140184</c:v>
                </c:pt>
                <c:pt idx="85">
                  <c:v>18080613.567140184</c:v>
                </c:pt>
                <c:pt idx="86">
                  <c:v>18080613.567140184</c:v>
                </c:pt>
                <c:pt idx="87">
                  <c:v>18080613.567140184</c:v>
                </c:pt>
                <c:pt idx="88">
                  <c:v>18080613.567140184</c:v>
                </c:pt>
                <c:pt idx="89">
                  <c:v>18080613.567140184</c:v>
                </c:pt>
                <c:pt idx="90">
                  <c:v>18080613.567140184</c:v>
                </c:pt>
                <c:pt idx="91">
                  <c:v>18080613.567140184</c:v>
                </c:pt>
                <c:pt idx="92">
                  <c:v>18080613.567140184</c:v>
                </c:pt>
                <c:pt idx="93">
                  <c:v>18080613.567140184</c:v>
                </c:pt>
                <c:pt idx="94">
                  <c:v>18080613.567140184</c:v>
                </c:pt>
                <c:pt idx="95">
                  <c:v>18080613.567140184</c:v>
                </c:pt>
                <c:pt idx="96">
                  <c:v>18080613.567140184</c:v>
                </c:pt>
                <c:pt idx="97">
                  <c:v>18080613.567140184</c:v>
                </c:pt>
                <c:pt idx="98">
                  <c:v>18080613.567140184</c:v>
                </c:pt>
                <c:pt idx="99">
                  <c:v>18080613.567140184</c:v>
                </c:pt>
                <c:pt idx="100">
                  <c:v>18080613.567140184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8B2-4412-96B6-13AC27E214CD}"/>
            </c:ext>
          </c:extLst>
        </c:ser>
        <c:ser>
          <c:idx val="8"/>
          <c:order val="8"/>
          <c:tx>
            <c:v>Ventas Año 1</c:v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'F-2 Estructura'!$B$55:$B$155</c:f>
              <c:numCache>
                <c:formatCode>_(\$* #,##0.00_);_(\$* \(#,##0.00\);_(\$* \-??_);_(@_)</c:formatCode>
                <c:ptCount val="101"/>
                <c:pt idx="0">
                  <c:v>25937500</c:v>
                </c:pt>
                <c:pt idx="1">
                  <c:v>25937500</c:v>
                </c:pt>
                <c:pt idx="2">
                  <c:v>25937500</c:v>
                </c:pt>
                <c:pt idx="3">
                  <c:v>25937500</c:v>
                </c:pt>
                <c:pt idx="4">
                  <c:v>25937500</c:v>
                </c:pt>
                <c:pt idx="5">
                  <c:v>25937500</c:v>
                </c:pt>
                <c:pt idx="6">
                  <c:v>25937500</c:v>
                </c:pt>
                <c:pt idx="7">
                  <c:v>25937500</c:v>
                </c:pt>
                <c:pt idx="8">
                  <c:v>25937500</c:v>
                </c:pt>
                <c:pt idx="9">
                  <c:v>25937500</c:v>
                </c:pt>
                <c:pt idx="10">
                  <c:v>25937500</c:v>
                </c:pt>
                <c:pt idx="11">
                  <c:v>25937500</c:v>
                </c:pt>
                <c:pt idx="12">
                  <c:v>25937500</c:v>
                </c:pt>
                <c:pt idx="13">
                  <c:v>25937500</c:v>
                </c:pt>
                <c:pt idx="14">
                  <c:v>25937500</c:v>
                </c:pt>
                <c:pt idx="15">
                  <c:v>25937500</c:v>
                </c:pt>
                <c:pt idx="16">
                  <c:v>25937500</c:v>
                </c:pt>
                <c:pt idx="17">
                  <c:v>25937500</c:v>
                </c:pt>
                <c:pt idx="18">
                  <c:v>25937500</c:v>
                </c:pt>
                <c:pt idx="19">
                  <c:v>25937500</c:v>
                </c:pt>
                <c:pt idx="20">
                  <c:v>25937500</c:v>
                </c:pt>
                <c:pt idx="21">
                  <c:v>25937500</c:v>
                </c:pt>
                <c:pt idx="22">
                  <c:v>25937500</c:v>
                </c:pt>
                <c:pt idx="23">
                  <c:v>25937500</c:v>
                </c:pt>
                <c:pt idx="24">
                  <c:v>25937500</c:v>
                </c:pt>
                <c:pt idx="25">
                  <c:v>25937500</c:v>
                </c:pt>
                <c:pt idx="26">
                  <c:v>25937500</c:v>
                </c:pt>
                <c:pt idx="27">
                  <c:v>25937500</c:v>
                </c:pt>
                <c:pt idx="28">
                  <c:v>25937500</c:v>
                </c:pt>
                <c:pt idx="29">
                  <c:v>25937500</c:v>
                </c:pt>
                <c:pt idx="30">
                  <c:v>25937500</c:v>
                </c:pt>
                <c:pt idx="31">
                  <c:v>25937500</c:v>
                </c:pt>
                <c:pt idx="32">
                  <c:v>25937500</c:v>
                </c:pt>
                <c:pt idx="33">
                  <c:v>25937500</c:v>
                </c:pt>
                <c:pt idx="34">
                  <c:v>25937500</c:v>
                </c:pt>
                <c:pt idx="35">
                  <c:v>25937500</c:v>
                </c:pt>
                <c:pt idx="36">
                  <c:v>25937500</c:v>
                </c:pt>
                <c:pt idx="37">
                  <c:v>25937500</c:v>
                </c:pt>
                <c:pt idx="38">
                  <c:v>25937500</c:v>
                </c:pt>
                <c:pt idx="39">
                  <c:v>25937500</c:v>
                </c:pt>
                <c:pt idx="40">
                  <c:v>25937500</c:v>
                </c:pt>
                <c:pt idx="41">
                  <c:v>25937500</c:v>
                </c:pt>
                <c:pt idx="42">
                  <c:v>25937500</c:v>
                </c:pt>
                <c:pt idx="43">
                  <c:v>25937500</c:v>
                </c:pt>
                <c:pt idx="44">
                  <c:v>25937500</c:v>
                </c:pt>
                <c:pt idx="45">
                  <c:v>25937500</c:v>
                </c:pt>
                <c:pt idx="46">
                  <c:v>25937500</c:v>
                </c:pt>
                <c:pt idx="47">
                  <c:v>25937500</c:v>
                </c:pt>
                <c:pt idx="48">
                  <c:v>25937500</c:v>
                </c:pt>
                <c:pt idx="49">
                  <c:v>25937500</c:v>
                </c:pt>
                <c:pt idx="50">
                  <c:v>25937500</c:v>
                </c:pt>
                <c:pt idx="51">
                  <c:v>25937500</c:v>
                </c:pt>
                <c:pt idx="52">
                  <c:v>25937500</c:v>
                </c:pt>
                <c:pt idx="53">
                  <c:v>25937500</c:v>
                </c:pt>
                <c:pt idx="54">
                  <c:v>25937500</c:v>
                </c:pt>
                <c:pt idx="55">
                  <c:v>25937500</c:v>
                </c:pt>
                <c:pt idx="56">
                  <c:v>25937500</c:v>
                </c:pt>
                <c:pt idx="57">
                  <c:v>25937500</c:v>
                </c:pt>
                <c:pt idx="58">
                  <c:v>25937500</c:v>
                </c:pt>
                <c:pt idx="59">
                  <c:v>25937500</c:v>
                </c:pt>
                <c:pt idx="60">
                  <c:v>25937500</c:v>
                </c:pt>
                <c:pt idx="61">
                  <c:v>25937500</c:v>
                </c:pt>
                <c:pt idx="62">
                  <c:v>25937500</c:v>
                </c:pt>
                <c:pt idx="63">
                  <c:v>25937500</c:v>
                </c:pt>
                <c:pt idx="64">
                  <c:v>25937500</c:v>
                </c:pt>
                <c:pt idx="65">
                  <c:v>25937500</c:v>
                </c:pt>
                <c:pt idx="66">
                  <c:v>25937500</c:v>
                </c:pt>
                <c:pt idx="67">
                  <c:v>25937500</c:v>
                </c:pt>
                <c:pt idx="68">
                  <c:v>25937500</c:v>
                </c:pt>
                <c:pt idx="69">
                  <c:v>25937500</c:v>
                </c:pt>
                <c:pt idx="70">
                  <c:v>25937500</c:v>
                </c:pt>
                <c:pt idx="71">
                  <c:v>25937500</c:v>
                </c:pt>
                <c:pt idx="72">
                  <c:v>25937500</c:v>
                </c:pt>
                <c:pt idx="73">
                  <c:v>25937500</c:v>
                </c:pt>
                <c:pt idx="74">
                  <c:v>25937500</c:v>
                </c:pt>
                <c:pt idx="75">
                  <c:v>25937500</c:v>
                </c:pt>
                <c:pt idx="76">
                  <c:v>25937500</c:v>
                </c:pt>
                <c:pt idx="77">
                  <c:v>25937500</c:v>
                </c:pt>
                <c:pt idx="78">
                  <c:v>25937500</c:v>
                </c:pt>
                <c:pt idx="79">
                  <c:v>25937500</c:v>
                </c:pt>
                <c:pt idx="80">
                  <c:v>25937500</c:v>
                </c:pt>
                <c:pt idx="81">
                  <c:v>25937500</c:v>
                </c:pt>
                <c:pt idx="82">
                  <c:v>25937500</c:v>
                </c:pt>
                <c:pt idx="83">
                  <c:v>25937500</c:v>
                </c:pt>
                <c:pt idx="84">
                  <c:v>25937500</c:v>
                </c:pt>
                <c:pt idx="85">
                  <c:v>25937500</c:v>
                </c:pt>
                <c:pt idx="86">
                  <c:v>25937500</c:v>
                </c:pt>
                <c:pt idx="87">
                  <c:v>25937500</c:v>
                </c:pt>
                <c:pt idx="88">
                  <c:v>25937500</c:v>
                </c:pt>
                <c:pt idx="89">
                  <c:v>25937500</c:v>
                </c:pt>
                <c:pt idx="90">
                  <c:v>25937500</c:v>
                </c:pt>
                <c:pt idx="91">
                  <c:v>25937500</c:v>
                </c:pt>
                <c:pt idx="92">
                  <c:v>25937500</c:v>
                </c:pt>
                <c:pt idx="93">
                  <c:v>25937500</c:v>
                </c:pt>
                <c:pt idx="94">
                  <c:v>25937500</c:v>
                </c:pt>
                <c:pt idx="95">
                  <c:v>25937500</c:v>
                </c:pt>
                <c:pt idx="96">
                  <c:v>25937500</c:v>
                </c:pt>
                <c:pt idx="97">
                  <c:v>25937500</c:v>
                </c:pt>
                <c:pt idx="98">
                  <c:v>25937500</c:v>
                </c:pt>
                <c:pt idx="99">
                  <c:v>25937500</c:v>
                </c:pt>
                <c:pt idx="100">
                  <c:v>25937500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8B2-4412-96B6-13AC27E214CD}"/>
            </c:ext>
          </c:extLst>
        </c:ser>
        <c:ser>
          <c:idx val="9"/>
          <c:order val="9"/>
          <c:tx>
            <c:v>Ing Año 1</c:v>
          </c:tx>
          <c:spPr>
            <a:ln w="285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'F-2 Estructura'!$D$55:$D$155</c:f>
              <c:numCache>
                <c:formatCode>_(\$* #,##0.00_);_(\$* \(#,##0.00\);_(\$* \-??_);_(@_)</c:formatCode>
                <c:ptCount val="101"/>
                <c:pt idx="0">
                  <c:v>0</c:v>
                </c:pt>
                <c:pt idx="1">
                  <c:v>259375</c:v>
                </c:pt>
                <c:pt idx="2">
                  <c:v>518750</c:v>
                </c:pt>
                <c:pt idx="3">
                  <c:v>778125</c:v>
                </c:pt>
                <c:pt idx="4">
                  <c:v>1037500</c:v>
                </c:pt>
                <c:pt idx="5">
                  <c:v>1296875</c:v>
                </c:pt>
                <c:pt idx="6">
                  <c:v>1556250</c:v>
                </c:pt>
                <c:pt idx="7">
                  <c:v>1815625</c:v>
                </c:pt>
                <c:pt idx="8">
                  <c:v>2075000</c:v>
                </c:pt>
                <c:pt idx="9">
                  <c:v>2334375</c:v>
                </c:pt>
                <c:pt idx="10">
                  <c:v>2593750</c:v>
                </c:pt>
                <c:pt idx="11">
                  <c:v>2853125</c:v>
                </c:pt>
                <c:pt idx="12">
                  <c:v>3112500</c:v>
                </c:pt>
                <c:pt idx="13">
                  <c:v>3371875</c:v>
                </c:pt>
                <c:pt idx="14">
                  <c:v>3631250</c:v>
                </c:pt>
                <c:pt idx="15">
                  <c:v>3890625</c:v>
                </c:pt>
                <c:pt idx="16">
                  <c:v>4150000</c:v>
                </c:pt>
                <c:pt idx="17">
                  <c:v>4409375</c:v>
                </c:pt>
                <c:pt idx="18">
                  <c:v>4668750</c:v>
                </c:pt>
                <c:pt idx="19">
                  <c:v>4928125</c:v>
                </c:pt>
                <c:pt idx="20">
                  <c:v>5187500</c:v>
                </c:pt>
                <c:pt idx="21">
                  <c:v>5446875</c:v>
                </c:pt>
                <c:pt idx="22">
                  <c:v>5706250</c:v>
                </c:pt>
                <c:pt idx="23">
                  <c:v>5965625</c:v>
                </c:pt>
                <c:pt idx="24">
                  <c:v>6225000</c:v>
                </c:pt>
                <c:pt idx="25">
                  <c:v>6484375</c:v>
                </c:pt>
                <c:pt idx="26">
                  <c:v>6743750</c:v>
                </c:pt>
                <c:pt idx="27">
                  <c:v>7003125</c:v>
                </c:pt>
                <c:pt idx="28">
                  <c:v>7262500</c:v>
                </c:pt>
                <c:pt idx="29">
                  <c:v>7521875</c:v>
                </c:pt>
                <c:pt idx="30">
                  <c:v>7781250</c:v>
                </c:pt>
                <c:pt idx="31">
                  <c:v>8040625</c:v>
                </c:pt>
                <c:pt idx="32">
                  <c:v>8300000</c:v>
                </c:pt>
                <c:pt idx="33">
                  <c:v>8559375</c:v>
                </c:pt>
                <c:pt idx="34">
                  <c:v>8818750</c:v>
                </c:pt>
                <c:pt idx="35">
                  <c:v>9078125</c:v>
                </c:pt>
                <c:pt idx="36">
                  <c:v>9337500</c:v>
                </c:pt>
                <c:pt idx="37">
                  <c:v>9596875</c:v>
                </c:pt>
                <c:pt idx="38">
                  <c:v>9856250</c:v>
                </c:pt>
                <c:pt idx="39">
                  <c:v>10115625</c:v>
                </c:pt>
                <c:pt idx="40">
                  <c:v>10375000</c:v>
                </c:pt>
                <c:pt idx="41">
                  <c:v>10634375</c:v>
                </c:pt>
                <c:pt idx="42">
                  <c:v>10893750</c:v>
                </c:pt>
                <c:pt idx="43">
                  <c:v>11153125</c:v>
                </c:pt>
                <c:pt idx="44">
                  <c:v>11412500</c:v>
                </c:pt>
                <c:pt idx="45">
                  <c:v>11671875</c:v>
                </c:pt>
                <c:pt idx="46">
                  <c:v>11931250</c:v>
                </c:pt>
                <c:pt idx="47">
                  <c:v>12190625</c:v>
                </c:pt>
                <c:pt idx="48">
                  <c:v>12450000</c:v>
                </c:pt>
                <c:pt idx="49">
                  <c:v>12709375</c:v>
                </c:pt>
                <c:pt idx="50">
                  <c:v>12968750</c:v>
                </c:pt>
                <c:pt idx="51">
                  <c:v>13228125</c:v>
                </c:pt>
                <c:pt idx="52">
                  <c:v>13487500</c:v>
                </c:pt>
                <c:pt idx="53">
                  <c:v>13746875</c:v>
                </c:pt>
                <c:pt idx="54">
                  <c:v>14006250</c:v>
                </c:pt>
                <c:pt idx="55">
                  <c:v>14265625</c:v>
                </c:pt>
                <c:pt idx="56">
                  <c:v>14525000</c:v>
                </c:pt>
                <c:pt idx="57">
                  <c:v>14784375</c:v>
                </c:pt>
                <c:pt idx="58">
                  <c:v>15043750</c:v>
                </c:pt>
                <c:pt idx="59">
                  <c:v>15303125</c:v>
                </c:pt>
                <c:pt idx="60">
                  <c:v>15562500</c:v>
                </c:pt>
                <c:pt idx="61">
                  <c:v>15821875</c:v>
                </c:pt>
                <c:pt idx="62">
                  <c:v>16081250</c:v>
                </c:pt>
                <c:pt idx="63">
                  <c:v>16340625</c:v>
                </c:pt>
                <c:pt idx="64">
                  <c:v>16600000</c:v>
                </c:pt>
                <c:pt idx="65">
                  <c:v>16859375</c:v>
                </c:pt>
                <c:pt idx="66">
                  <c:v>17118750</c:v>
                </c:pt>
                <c:pt idx="67">
                  <c:v>17378125</c:v>
                </c:pt>
                <c:pt idx="68">
                  <c:v>17637500</c:v>
                </c:pt>
                <c:pt idx="69">
                  <c:v>17896875</c:v>
                </c:pt>
                <c:pt idx="70">
                  <c:v>18156250</c:v>
                </c:pt>
                <c:pt idx="71">
                  <c:v>18415625</c:v>
                </c:pt>
                <c:pt idx="72">
                  <c:v>18675000</c:v>
                </c:pt>
                <c:pt idx="73">
                  <c:v>18934375</c:v>
                </c:pt>
                <c:pt idx="74">
                  <c:v>19193750</c:v>
                </c:pt>
                <c:pt idx="75">
                  <c:v>19453125</c:v>
                </c:pt>
                <c:pt idx="76">
                  <c:v>19712500</c:v>
                </c:pt>
                <c:pt idx="77">
                  <c:v>19971875</c:v>
                </c:pt>
                <c:pt idx="78">
                  <c:v>20231250</c:v>
                </c:pt>
                <c:pt idx="79">
                  <c:v>20490625</c:v>
                </c:pt>
                <c:pt idx="80">
                  <c:v>20750000</c:v>
                </c:pt>
                <c:pt idx="81">
                  <c:v>21009375</c:v>
                </c:pt>
                <c:pt idx="82">
                  <c:v>21268750</c:v>
                </c:pt>
                <c:pt idx="83">
                  <c:v>21528125</c:v>
                </c:pt>
                <c:pt idx="84">
                  <c:v>21787500</c:v>
                </c:pt>
                <c:pt idx="85">
                  <c:v>22046875</c:v>
                </c:pt>
                <c:pt idx="86">
                  <c:v>22306250</c:v>
                </c:pt>
                <c:pt idx="87">
                  <c:v>22565625</c:v>
                </c:pt>
                <c:pt idx="88">
                  <c:v>22825000</c:v>
                </c:pt>
                <c:pt idx="89">
                  <c:v>23084375</c:v>
                </c:pt>
                <c:pt idx="90">
                  <c:v>23343750</c:v>
                </c:pt>
                <c:pt idx="91">
                  <c:v>23603125</c:v>
                </c:pt>
                <c:pt idx="92">
                  <c:v>23862500</c:v>
                </c:pt>
                <c:pt idx="93">
                  <c:v>24121875</c:v>
                </c:pt>
                <c:pt idx="94">
                  <c:v>24381250</c:v>
                </c:pt>
                <c:pt idx="95">
                  <c:v>24640625</c:v>
                </c:pt>
                <c:pt idx="96">
                  <c:v>24900000</c:v>
                </c:pt>
                <c:pt idx="97">
                  <c:v>25159375</c:v>
                </c:pt>
                <c:pt idx="98">
                  <c:v>25418750</c:v>
                </c:pt>
                <c:pt idx="99">
                  <c:v>25678125</c:v>
                </c:pt>
                <c:pt idx="100">
                  <c:v>25937500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8B2-4412-96B6-13AC27E21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880200"/>
        <c:axId val="422880592"/>
      </c:lineChart>
      <c:catAx>
        <c:axId val="422880200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422880592"/>
        <c:crosses val="autoZero"/>
        <c:auto val="1"/>
        <c:lblAlgn val="ctr"/>
        <c:lblOffset val="100"/>
        <c:noMultiLvlLbl val="0"/>
      </c:catAx>
      <c:valAx>
        <c:axId val="422880592"/>
        <c:scaling>
          <c:orientation val="minMax"/>
        </c:scaling>
        <c:delete val="0"/>
        <c:axPos val="l"/>
        <c:majorGridlines/>
        <c:numFmt formatCode="_(\$* #,##0.00_);_(\$* \(#,##0.00\);_(\$* \-??_);_(@_)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422880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 i="0" u="sng">
                <a:solidFill>
                  <a:sysClr val="windowText" lastClr="000000"/>
                </a:solidFill>
              </a:rPr>
              <a:t>Flujo Neto de Caja para el VAN Modificado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'F- Form'!$A$23:$A$28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'F- Form'!$M$5:$M$10</c:f>
              <c:numCache>
                <c:formatCode>_(\$* #,##0.00_);_(\$* \(#,##0.00\);_(\$* \-??_);_(@_)</c:formatCode>
                <c:ptCount val="6"/>
                <c:pt idx="0">
                  <c:v>-12033076.641768085</c:v>
                </c:pt>
                <c:pt idx="1">
                  <c:v>3127218.3056970779</c:v>
                </c:pt>
                <c:pt idx="2">
                  <c:v>8433525.3848082311</c:v>
                </c:pt>
                <c:pt idx="3">
                  <c:v>8766484.0023121666</c:v>
                </c:pt>
                <c:pt idx="4">
                  <c:v>8676330.633478865</c:v>
                </c:pt>
                <c:pt idx="5">
                  <c:v>21372869.720596164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179200"/>
        <c:axId val="430171752"/>
      </c:barChart>
      <c:catAx>
        <c:axId val="43017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0171752"/>
        <c:crosses val="autoZero"/>
        <c:auto val="1"/>
        <c:lblAlgn val="ctr"/>
        <c:lblOffset val="100"/>
        <c:noMultiLvlLbl val="0"/>
      </c:catAx>
      <c:valAx>
        <c:axId val="43017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\$* #,##0.00_);_(\$* \(#,##0.00\);_(\$* \-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017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052765907321018E-2"/>
          <c:y val="1.940438618578829E-2"/>
          <c:w val="0.87615845583834717"/>
          <c:h val="0.9129225878056114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'F- Form'!$B$72</c:f>
              <c:strCache>
                <c:ptCount val="1"/>
                <c:pt idx="0">
                  <c:v>Van (i) inversor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6704342653182632E-2"/>
                  <c:y val="1.0107642412304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3.3412586351577615E-2"/>
                  <c:y val="-6.79586807412592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baseline="0">
                        <a:effectLst/>
                      </a:rPr>
                      <a:t>60,91%</a:t>
                    </a:r>
                  </a:p>
                  <a:p>
                    <a:pPr>
                      <a:defRPr/>
                    </a:pPr>
                    <a:r>
                      <a:rPr lang="en-US" sz="900" b="1" i="0" u="none" strike="noStrike" baseline="0">
                        <a:effectLst/>
                      </a:rPr>
                      <a:t>TASA TOR</a:t>
                    </a:r>
                    <a:r>
                      <a:rPr lang="en-US" sz="900" b="0" i="0" u="none" strike="noStrike" baseline="0"/>
                      <a:t> 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540060823640436E-2"/>
                      <c:h val="6.9878551966324517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'F- Form'!$A$73:$A$143</c:f>
              <c:numCache>
                <c:formatCode>0.00%</c:formatCode>
                <c:ptCount val="7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0.53841441857577443</c:v>
                </c:pt>
                <c:pt idx="55" formatCode="0%">
                  <c:v>0.55000000000000004</c:v>
                </c:pt>
                <c:pt idx="56" formatCode="0%">
                  <c:v>0.56000000000000005</c:v>
                </c:pt>
                <c:pt idx="57" formatCode="0%">
                  <c:v>0.56999999999999995</c:v>
                </c:pt>
                <c:pt idx="58" formatCode="0%">
                  <c:v>0.57999999999999996</c:v>
                </c:pt>
                <c:pt idx="59" formatCode="0%">
                  <c:v>0.59</c:v>
                </c:pt>
                <c:pt idx="60" formatCode="0%">
                  <c:v>0.6</c:v>
                </c:pt>
                <c:pt idx="61" formatCode="0%">
                  <c:v>0.60914232274778057</c:v>
                </c:pt>
                <c:pt idx="62" formatCode="0%">
                  <c:v>0.62</c:v>
                </c:pt>
                <c:pt idx="63" formatCode="0%">
                  <c:v>0.63</c:v>
                </c:pt>
                <c:pt idx="64" formatCode="0%">
                  <c:v>0.64</c:v>
                </c:pt>
                <c:pt idx="65" formatCode="0%">
                  <c:v>0.65</c:v>
                </c:pt>
                <c:pt idx="66" formatCode="0%">
                  <c:v>0.66</c:v>
                </c:pt>
                <c:pt idx="67" formatCode="0%">
                  <c:v>0.67</c:v>
                </c:pt>
                <c:pt idx="68" formatCode="0%">
                  <c:v>0.68</c:v>
                </c:pt>
                <c:pt idx="69" formatCode="0%">
                  <c:v>0.69</c:v>
                </c:pt>
                <c:pt idx="70" formatCode="0%">
                  <c:v>0.7</c:v>
                </c:pt>
              </c:numCache>
            </c:numRef>
          </c:xVal>
          <c:yVal>
            <c:numRef>
              <c:f>'F- Form'!$B$73:$B$143</c:f>
              <c:numCache>
                <c:formatCode>_(\$* #,##0_);_(\$* \(#,##0\);_(\$* \-??_);_(@_)</c:formatCode>
                <c:ptCount val="71"/>
                <c:pt idx="0">
                  <c:v>28608161.617594093</c:v>
                </c:pt>
                <c:pt idx="1">
                  <c:v>28139175.361567959</c:v>
                </c:pt>
                <c:pt idx="2">
                  <c:v>27670189.105541825</c:v>
                </c:pt>
                <c:pt idx="3">
                  <c:v>27201202.849515691</c:v>
                </c:pt>
                <c:pt idx="4">
                  <c:v>26732216.593489558</c:v>
                </c:pt>
                <c:pt idx="5">
                  <c:v>26263230.337463424</c:v>
                </c:pt>
                <c:pt idx="6">
                  <c:v>25794244.08143729</c:v>
                </c:pt>
                <c:pt idx="7">
                  <c:v>25325257.825411156</c:v>
                </c:pt>
                <c:pt idx="8">
                  <c:v>24856271.569385022</c:v>
                </c:pt>
                <c:pt idx="9">
                  <c:v>24387285.313358888</c:v>
                </c:pt>
                <c:pt idx="10">
                  <c:v>23918299.057332754</c:v>
                </c:pt>
                <c:pt idx="11">
                  <c:v>23449312.80130662</c:v>
                </c:pt>
                <c:pt idx="12">
                  <c:v>22980326.545280486</c:v>
                </c:pt>
                <c:pt idx="13">
                  <c:v>22511340.289254352</c:v>
                </c:pt>
                <c:pt idx="14">
                  <c:v>22042354.033228219</c:v>
                </c:pt>
                <c:pt idx="15">
                  <c:v>21573367.777202085</c:v>
                </c:pt>
                <c:pt idx="16">
                  <c:v>21104381.521175951</c:v>
                </c:pt>
                <c:pt idx="17">
                  <c:v>20635395.265149817</c:v>
                </c:pt>
                <c:pt idx="18">
                  <c:v>20166409.009123683</c:v>
                </c:pt>
                <c:pt idx="19">
                  <c:v>19697422.753097549</c:v>
                </c:pt>
                <c:pt idx="20">
                  <c:v>19228436.497071415</c:v>
                </c:pt>
                <c:pt idx="21">
                  <c:v>18759450.241045281</c:v>
                </c:pt>
                <c:pt idx="22">
                  <c:v>18290463.985019147</c:v>
                </c:pt>
                <c:pt idx="23">
                  <c:v>17821477.728993014</c:v>
                </c:pt>
                <c:pt idx="24">
                  <c:v>17352491.47296688</c:v>
                </c:pt>
                <c:pt idx="25">
                  <c:v>16883505.216940746</c:v>
                </c:pt>
                <c:pt idx="26">
                  <c:v>16414518.960914614</c:v>
                </c:pt>
                <c:pt idx="27">
                  <c:v>15945532.704888482</c:v>
                </c:pt>
                <c:pt idx="28">
                  <c:v>15476546.44886235</c:v>
                </c:pt>
                <c:pt idx="29">
                  <c:v>15007560.192836218</c:v>
                </c:pt>
                <c:pt idx="30">
                  <c:v>14538573.936810086</c:v>
                </c:pt>
                <c:pt idx="31">
                  <c:v>14069587.680783954</c:v>
                </c:pt>
                <c:pt idx="32">
                  <c:v>13600601.424757821</c:v>
                </c:pt>
                <c:pt idx="33">
                  <c:v>13131615.168731689</c:v>
                </c:pt>
                <c:pt idx="34">
                  <c:v>12662628.912705557</c:v>
                </c:pt>
                <c:pt idx="35">
                  <c:v>12193642.656679425</c:v>
                </c:pt>
                <c:pt idx="36">
                  <c:v>11724656.400653293</c:v>
                </c:pt>
                <c:pt idx="37">
                  <c:v>11255670.144627161</c:v>
                </c:pt>
                <c:pt idx="38">
                  <c:v>10786683.888601029</c:v>
                </c:pt>
                <c:pt idx="39">
                  <c:v>10317697.632574897</c:v>
                </c:pt>
                <c:pt idx="40">
                  <c:v>9848711.3765487652</c:v>
                </c:pt>
                <c:pt idx="41">
                  <c:v>9379725.1205226332</c:v>
                </c:pt>
                <c:pt idx="42">
                  <c:v>8910738.8644965012</c:v>
                </c:pt>
                <c:pt idx="43">
                  <c:v>8441752.6084703691</c:v>
                </c:pt>
                <c:pt idx="44">
                  <c:v>7972766.3524442362</c:v>
                </c:pt>
                <c:pt idx="45">
                  <c:v>7503780.0964181032</c:v>
                </c:pt>
                <c:pt idx="46">
                  <c:v>7034793.8403919702</c:v>
                </c:pt>
                <c:pt idx="47">
                  <c:v>6565807.5843658373</c:v>
                </c:pt>
                <c:pt idx="48">
                  <c:v>6096821.3283397043</c:v>
                </c:pt>
                <c:pt idx="49">
                  <c:v>5627835.0723135713</c:v>
                </c:pt>
                <c:pt idx="50">
                  <c:v>5158848.8162874384</c:v>
                </c:pt>
                <c:pt idx="51">
                  <c:v>4689862.5602613054</c:v>
                </c:pt>
                <c:pt idx="52">
                  <c:v>4220876.3042351725</c:v>
                </c:pt>
                <c:pt idx="53">
                  <c:v>3751890.04820904</c:v>
                </c:pt>
                <c:pt idx="54">
                  <c:v>3282903.7921829075</c:v>
                </c:pt>
                <c:pt idx="55">
                  <c:v>2813917.536156775</c:v>
                </c:pt>
                <c:pt idx="56">
                  <c:v>2344931.2801306425</c:v>
                </c:pt>
                <c:pt idx="57">
                  <c:v>1875945.0241045097</c:v>
                </c:pt>
                <c:pt idx="58">
                  <c:v>1406958.768078377</c:v>
                </c:pt>
                <c:pt idx="59">
                  <c:v>937972.51205224427</c:v>
                </c:pt>
                <c:pt idx="60">
                  <c:v>468986.2560261116</c:v>
                </c:pt>
                <c:pt idx="61">
                  <c:v>-2.1071173250675201E-8</c:v>
                </c:pt>
                <c:pt idx="62">
                  <c:v>-468986.25602615374</c:v>
                </c:pt>
                <c:pt idx="63">
                  <c:v>-937972.51205228642</c:v>
                </c:pt>
                <c:pt idx="64">
                  <c:v>-1406958.7680784191</c:v>
                </c:pt>
                <c:pt idx="65">
                  <c:v>-1875945.0241045519</c:v>
                </c:pt>
                <c:pt idx="66">
                  <c:v>-2344931.2801306844</c:v>
                </c:pt>
                <c:pt idx="67">
                  <c:v>-2813917.5361568169</c:v>
                </c:pt>
                <c:pt idx="68">
                  <c:v>-3282903.7921829494</c:v>
                </c:pt>
                <c:pt idx="69">
                  <c:v>-3751890.0482090819</c:v>
                </c:pt>
                <c:pt idx="70">
                  <c:v>-4220876.3042352144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'F- Form'!$C$72</c:f>
              <c:strCache>
                <c:ptCount val="1"/>
                <c:pt idx="0">
                  <c:v>Van mod (i)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54"/>
              <c:layout>
                <c:manualLayout>
                  <c:x val="-3.8867718014089683E-2"/>
                  <c:y val="9.05920359189234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 b="1" i="0" u="none" strike="noStrike" baseline="0">
                        <a:effectLst/>
                      </a:rPr>
                      <a:t>53,84%</a:t>
                    </a:r>
                    <a:r>
                      <a:rPr lang="en-US" sz="900" b="0" i="0" u="none" strike="noStrike" baseline="0"/>
                      <a:t>  </a:t>
                    </a:r>
                  </a:p>
                  <a:p>
                    <a:pPr>
                      <a:defRPr/>
                    </a:pPr>
                    <a:r>
                      <a:rPr lang="en-US" sz="900" b="0" i="0" u="none" strike="noStrike" baseline="0"/>
                      <a:t>TIR MOD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169283676177093E-2"/>
                      <c:h val="8.412026234024938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'F- Form'!$A$73:$A$143</c:f>
              <c:numCache>
                <c:formatCode>0.00%</c:formatCode>
                <c:ptCount val="7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0.53841441857577443</c:v>
                </c:pt>
                <c:pt idx="55" formatCode="0%">
                  <c:v>0.55000000000000004</c:v>
                </c:pt>
                <c:pt idx="56" formatCode="0%">
                  <c:v>0.56000000000000005</c:v>
                </c:pt>
                <c:pt idx="57" formatCode="0%">
                  <c:v>0.56999999999999995</c:v>
                </c:pt>
                <c:pt idx="58" formatCode="0%">
                  <c:v>0.57999999999999996</c:v>
                </c:pt>
                <c:pt idx="59" formatCode="0%">
                  <c:v>0.59</c:v>
                </c:pt>
                <c:pt idx="60" formatCode="0%">
                  <c:v>0.6</c:v>
                </c:pt>
                <c:pt idx="61" formatCode="0%">
                  <c:v>0.60914232274778057</c:v>
                </c:pt>
                <c:pt idx="62" formatCode="0%">
                  <c:v>0.62</c:v>
                </c:pt>
                <c:pt idx="63" formatCode="0%">
                  <c:v>0.63</c:v>
                </c:pt>
                <c:pt idx="64" formatCode="0%">
                  <c:v>0.64</c:v>
                </c:pt>
                <c:pt idx="65" formatCode="0%">
                  <c:v>0.65</c:v>
                </c:pt>
                <c:pt idx="66" formatCode="0%">
                  <c:v>0.66</c:v>
                </c:pt>
                <c:pt idx="67" formatCode="0%">
                  <c:v>0.67</c:v>
                </c:pt>
                <c:pt idx="68" formatCode="0%">
                  <c:v>0.68</c:v>
                </c:pt>
                <c:pt idx="69" formatCode="0%">
                  <c:v>0.69</c:v>
                </c:pt>
                <c:pt idx="70" formatCode="0%">
                  <c:v>0.7</c:v>
                </c:pt>
              </c:numCache>
            </c:numRef>
          </c:xVal>
          <c:yVal>
            <c:numRef>
              <c:f>'F- Form'!$C$73:$C$143</c:f>
              <c:numCache>
                <c:formatCode>_(\$* #,##0_);_(\$* \(#,##0\);_(\$* \-??_);_(@_)</c:formatCode>
                <c:ptCount val="71"/>
                <c:pt idx="0">
                  <c:v>38343351.405124418</c:v>
                </c:pt>
                <c:pt idx="1">
                  <c:v>37633289.342066556</c:v>
                </c:pt>
                <c:pt idx="2">
                  <c:v>36923227.279008694</c:v>
                </c:pt>
                <c:pt idx="3">
                  <c:v>36213165.215950832</c:v>
                </c:pt>
                <c:pt idx="4">
                  <c:v>35503103.15289297</c:v>
                </c:pt>
                <c:pt idx="5">
                  <c:v>34793041.089835107</c:v>
                </c:pt>
                <c:pt idx="6">
                  <c:v>34082979.026777245</c:v>
                </c:pt>
                <c:pt idx="7">
                  <c:v>33372916.963719387</c:v>
                </c:pt>
                <c:pt idx="8">
                  <c:v>32662854.900661528</c:v>
                </c:pt>
                <c:pt idx="9">
                  <c:v>31952792.83760367</c:v>
                </c:pt>
                <c:pt idx="10">
                  <c:v>31242730.774545811</c:v>
                </c:pt>
                <c:pt idx="11">
                  <c:v>30532668.711487953</c:v>
                </c:pt>
                <c:pt idx="12">
                  <c:v>29822606.648430094</c:v>
                </c:pt>
                <c:pt idx="13">
                  <c:v>29112544.585372236</c:v>
                </c:pt>
                <c:pt idx="14">
                  <c:v>28402482.522314377</c:v>
                </c:pt>
                <c:pt idx="15">
                  <c:v>27692420.459256519</c:v>
                </c:pt>
                <c:pt idx="16">
                  <c:v>26982358.39619866</c:v>
                </c:pt>
                <c:pt idx="17">
                  <c:v>26272296.333140802</c:v>
                </c:pt>
                <c:pt idx="18">
                  <c:v>25562234.270082943</c:v>
                </c:pt>
                <c:pt idx="19">
                  <c:v>24852172.207025085</c:v>
                </c:pt>
                <c:pt idx="20">
                  <c:v>24142110.143967226</c:v>
                </c:pt>
                <c:pt idx="21">
                  <c:v>23432048.080909368</c:v>
                </c:pt>
                <c:pt idx="22">
                  <c:v>22721986.017851509</c:v>
                </c:pt>
                <c:pt idx="23">
                  <c:v>22011923.954793651</c:v>
                </c:pt>
                <c:pt idx="24">
                  <c:v>21301861.891735792</c:v>
                </c:pt>
                <c:pt idx="25">
                  <c:v>20591799.828677934</c:v>
                </c:pt>
                <c:pt idx="26">
                  <c:v>19881737.765620075</c:v>
                </c:pt>
                <c:pt idx="27">
                  <c:v>19171675.702562217</c:v>
                </c:pt>
                <c:pt idx="28">
                  <c:v>18461613.639504358</c:v>
                </c:pt>
                <c:pt idx="29">
                  <c:v>17751551.5764465</c:v>
                </c:pt>
                <c:pt idx="30">
                  <c:v>17041489.513388641</c:v>
                </c:pt>
                <c:pt idx="31">
                  <c:v>16331427.450330781</c:v>
                </c:pt>
                <c:pt idx="32">
                  <c:v>15621365.38727292</c:v>
                </c:pt>
                <c:pt idx="33">
                  <c:v>14911303.32421506</c:v>
                </c:pt>
                <c:pt idx="34">
                  <c:v>14201241.2611572</c:v>
                </c:pt>
                <c:pt idx="35">
                  <c:v>13491179.198099339</c:v>
                </c:pt>
                <c:pt idx="36">
                  <c:v>12781117.135041479</c:v>
                </c:pt>
                <c:pt idx="37">
                  <c:v>12071055.071983619</c:v>
                </c:pt>
                <c:pt idx="38">
                  <c:v>11360993.008925758</c:v>
                </c:pt>
                <c:pt idx="39">
                  <c:v>10650930.945867898</c:v>
                </c:pt>
                <c:pt idx="40">
                  <c:v>9940868.8828100376</c:v>
                </c:pt>
                <c:pt idx="41">
                  <c:v>9230806.8197521772</c:v>
                </c:pt>
                <c:pt idx="42">
                  <c:v>8520744.7566943169</c:v>
                </c:pt>
                <c:pt idx="43">
                  <c:v>7810682.6936364574</c:v>
                </c:pt>
                <c:pt idx="44">
                  <c:v>7100620.630578598</c:v>
                </c:pt>
                <c:pt idx="45">
                  <c:v>6390558.5675207386</c:v>
                </c:pt>
                <c:pt idx="46">
                  <c:v>5680496.5044628792</c:v>
                </c:pt>
                <c:pt idx="47">
                  <c:v>4970434.4414050197</c:v>
                </c:pt>
                <c:pt idx="48">
                  <c:v>4260372.3783471603</c:v>
                </c:pt>
                <c:pt idx="49">
                  <c:v>3550310.3152893009</c:v>
                </c:pt>
                <c:pt idx="50">
                  <c:v>2840248.2522314414</c:v>
                </c:pt>
                <c:pt idx="51">
                  <c:v>2130186.189173582</c:v>
                </c:pt>
                <c:pt idx="52">
                  <c:v>1420124.1261157226</c:v>
                </c:pt>
                <c:pt idx="53">
                  <c:v>710062.06305786304</c:v>
                </c:pt>
                <c:pt idx="54">
                  <c:v>3.4924596548080444E-9</c:v>
                </c:pt>
                <c:pt idx="55">
                  <c:v>-710062.06305785605</c:v>
                </c:pt>
                <c:pt idx="56">
                  <c:v>-1420124.1261157156</c:v>
                </c:pt>
                <c:pt idx="57">
                  <c:v>-2130186.189173575</c:v>
                </c:pt>
                <c:pt idx="58">
                  <c:v>-2840248.2522314345</c:v>
                </c:pt>
                <c:pt idx="59">
                  <c:v>-3550310.3152892939</c:v>
                </c:pt>
                <c:pt idx="60">
                  <c:v>-4260372.3783471538</c:v>
                </c:pt>
                <c:pt idx="61">
                  <c:v>-4970434.4414050132</c:v>
                </c:pt>
                <c:pt idx="62">
                  <c:v>-5680496.5044628726</c:v>
                </c:pt>
                <c:pt idx="63">
                  <c:v>-6390558.5675207321</c:v>
                </c:pt>
                <c:pt idx="64">
                  <c:v>-7100620.6305785915</c:v>
                </c:pt>
                <c:pt idx="65">
                  <c:v>-7810682.6936364509</c:v>
                </c:pt>
                <c:pt idx="66">
                  <c:v>-8520744.7566943113</c:v>
                </c:pt>
                <c:pt idx="67">
                  <c:v>-9230806.8197521716</c:v>
                </c:pt>
                <c:pt idx="68">
                  <c:v>-9940868.882810032</c:v>
                </c:pt>
                <c:pt idx="69">
                  <c:v>-10650930.945867892</c:v>
                </c:pt>
                <c:pt idx="70">
                  <c:v>-11360993.008925753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'F- Form'!$D$72</c:f>
              <c:strCache>
                <c:ptCount val="1"/>
                <c:pt idx="0">
                  <c:v>Saldos netos actualizados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'F- Form'!$A$73:$A$143</c:f>
              <c:numCache>
                <c:formatCode>0.00%</c:formatCode>
                <c:ptCount val="7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0.53841441857577443</c:v>
                </c:pt>
                <c:pt idx="55" formatCode="0%">
                  <c:v>0.55000000000000004</c:v>
                </c:pt>
                <c:pt idx="56" formatCode="0%">
                  <c:v>0.56000000000000005</c:v>
                </c:pt>
                <c:pt idx="57" formatCode="0%">
                  <c:v>0.56999999999999995</c:v>
                </c:pt>
                <c:pt idx="58" formatCode="0%">
                  <c:v>0.57999999999999996</c:v>
                </c:pt>
                <c:pt idx="59" formatCode="0%">
                  <c:v>0.59</c:v>
                </c:pt>
                <c:pt idx="60" formatCode="0%">
                  <c:v>0.6</c:v>
                </c:pt>
                <c:pt idx="61" formatCode="0%">
                  <c:v>0.60914232274778057</c:v>
                </c:pt>
                <c:pt idx="62" formatCode="0%">
                  <c:v>0.62</c:v>
                </c:pt>
                <c:pt idx="63" formatCode="0%">
                  <c:v>0.63</c:v>
                </c:pt>
                <c:pt idx="64" formatCode="0%">
                  <c:v>0.64</c:v>
                </c:pt>
                <c:pt idx="65" formatCode="0%">
                  <c:v>0.65</c:v>
                </c:pt>
                <c:pt idx="66" formatCode="0%">
                  <c:v>0.66</c:v>
                </c:pt>
                <c:pt idx="67" formatCode="0%">
                  <c:v>0.67</c:v>
                </c:pt>
                <c:pt idx="68" formatCode="0%">
                  <c:v>0.68</c:v>
                </c:pt>
                <c:pt idx="69" formatCode="0%">
                  <c:v>0.69</c:v>
                </c:pt>
                <c:pt idx="70" formatCode="0%">
                  <c:v>0.7</c:v>
                </c:pt>
              </c:numCache>
            </c:numRef>
          </c:xVal>
          <c:yVal>
            <c:numRef>
              <c:f>'F- Form'!$D$73:$D$143</c:f>
              <c:numCache>
                <c:formatCode>_(\$* #,##0_);_(\$* \(#,##0\);_(\$* \-??_);_(@_)</c:formatCode>
                <c:ptCount val="71"/>
                <c:pt idx="0">
                  <c:v>37563054.234911174</c:v>
                </c:pt>
                <c:pt idx="1">
                  <c:v>37094067.97888504</c:v>
                </c:pt>
                <c:pt idx="2">
                  <c:v>36625081.722858906</c:v>
                </c:pt>
                <c:pt idx="3">
                  <c:v>36156095.466832772</c:v>
                </c:pt>
                <c:pt idx="4">
                  <c:v>35687109.210806638</c:v>
                </c:pt>
                <c:pt idx="5">
                  <c:v>35218122.954780504</c:v>
                </c:pt>
                <c:pt idx="6">
                  <c:v>34749136.69875437</c:v>
                </c:pt>
                <c:pt idx="7">
                  <c:v>34280150.442728236</c:v>
                </c:pt>
                <c:pt idx="8">
                  <c:v>33811164.186702102</c:v>
                </c:pt>
                <c:pt idx="9">
                  <c:v>33342177.930675972</c:v>
                </c:pt>
                <c:pt idx="10">
                  <c:v>32873191.674649838</c:v>
                </c:pt>
                <c:pt idx="11">
                  <c:v>32404205.418623704</c:v>
                </c:pt>
                <c:pt idx="12">
                  <c:v>31935219.162597571</c:v>
                </c:pt>
                <c:pt idx="13">
                  <c:v>31466232.906571437</c:v>
                </c:pt>
                <c:pt idx="14">
                  <c:v>30997246.650545303</c:v>
                </c:pt>
                <c:pt idx="15">
                  <c:v>30528260.394519169</c:v>
                </c:pt>
                <c:pt idx="16">
                  <c:v>30059274.138493035</c:v>
                </c:pt>
                <c:pt idx="17">
                  <c:v>29590287.882466901</c:v>
                </c:pt>
                <c:pt idx="18">
                  <c:v>29121301.626440767</c:v>
                </c:pt>
                <c:pt idx="19">
                  <c:v>28652315.370414633</c:v>
                </c:pt>
                <c:pt idx="20">
                  <c:v>28183329.114388499</c:v>
                </c:pt>
                <c:pt idx="21">
                  <c:v>27714342.858362366</c:v>
                </c:pt>
                <c:pt idx="22">
                  <c:v>27245356.602336232</c:v>
                </c:pt>
                <c:pt idx="23">
                  <c:v>26776370.346310098</c:v>
                </c:pt>
                <c:pt idx="24">
                  <c:v>26307384.090283964</c:v>
                </c:pt>
                <c:pt idx="25">
                  <c:v>25838397.83425783</c:v>
                </c:pt>
                <c:pt idx="26">
                  <c:v>25369411.5782317</c:v>
                </c:pt>
                <c:pt idx="27">
                  <c:v>24900425.322205566</c:v>
                </c:pt>
                <c:pt idx="28">
                  <c:v>24431439.066179432</c:v>
                </c:pt>
                <c:pt idx="29">
                  <c:v>23962452.810153302</c:v>
                </c:pt>
                <c:pt idx="30">
                  <c:v>23493466.554127172</c:v>
                </c:pt>
                <c:pt idx="31">
                  <c:v>23024480.298101038</c:v>
                </c:pt>
                <c:pt idx="32">
                  <c:v>22555494.042074904</c:v>
                </c:pt>
                <c:pt idx="33">
                  <c:v>22086507.786048774</c:v>
                </c:pt>
                <c:pt idx="34">
                  <c:v>21617521.530022644</c:v>
                </c:pt>
                <c:pt idx="35">
                  <c:v>21148535.27399651</c:v>
                </c:pt>
                <c:pt idx="36">
                  <c:v>20679549.017970376</c:v>
                </c:pt>
                <c:pt idx="37">
                  <c:v>20210562.761944246</c:v>
                </c:pt>
                <c:pt idx="38">
                  <c:v>19741576.505918115</c:v>
                </c:pt>
                <c:pt idx="39">
                  <c:v>19272590.249891981</c:v>
                </c:pt>
                <c:pt idx="40">
                  <c:v>18803603.993865848</c:v>
                </c:pt>
                <c:pt idx="41">
                  <c:v>18334617.737839717</c:v>
                </c:pt>
                <c:pt idx="42">
                  <c:v>17865631.481813587</c:v>
                </c:pt>
                <c:pt idx="43">
                  <c:v>17396645.225787453</c:v>
                </c:pt>
                <c:pt idx="44">
                  <c:v>16927658.969761319</c:v>
                </c:pt>
                <c:pt idx="45">
                  <c:v>16458672.713735187</c:v>
                </c:pt>
                <c:pt idx="46">
                  <c:v>15989686.457709055</c:v>
                </c:pt>
                <c:pt idx="47">
                  <c:v>15520700.201682921</c:v>
                </c:pt>
                <c:pt idx="48">
                  <c:v>15051713.945656788</c:v>
                </c:pt>
                <c:pt idx="49">
                  <c:v>14582727.689630656</c:v>
                </c:pt>
                <c:pt idx="50">
                  <c:v>14113741.433604524</c:v>
                </c:pt>
                <c:pt idx="51">
                  <c:v>13644755.17757839</c:v>
                </c:pt>
                <c:pt idx="52">
                  <c:v>13175768.921552256</c:v>
                </c:pt>
                <c:pt idx="53">
                  <c:v>12706782.665526124</c:v>
                </c:pt>
                <c:pt idx="54">
                  <c:v>12237796.409499992</c:v>
                </c:pt>
                <c:pt idx="55">
                  <c:v>11768810.15347386</c:v>
                </c:pt>
                <c:pt idx="56">
                  <c:v>11299823.897447728</c:v>
                </c:pt>
                <c:pt idx="57">
                  <c:v>10830837.641421594</c:v>
                </c:pt>
                <c:pt idx="58">
                  <c:v>10361851.385395462</c:v>
                </c:pt>
                <c:pt idx="59">
                  <c:v>9892865.1293693278</c:v>
                </c:pt>
                <c:pt idx="60">
                  <c:v>9423878.8733431958</c:v>
                </c:pt>
                <c:pt idx="61">
                  <c:v>8954892.6173170637</c:v>
                </c:pt>
                <c:pt idx="62">
                  <c:v>8485906.3612909298</c:v>
                </c:pt>
                <c:pt idx="63">
                  <c:v>8016920.1052647978</c:v>
                </c:pt>
                <c:pt idx="64">
                  <c:v>7547933.8492386648</c:v>
                </c:pt>
                <c:pt idx="65">
                  <c:v>7078947.5932125319</c:v>
                </c:pt>
                <c:pt idx="66">
                  <c:v>6609961.3371863998</c:v>
                </c:pt>
                <c:pt idx="67">
                  <c:v>6140975.0811602678</c:v>
                </c:pt>
                <c:pt idx="68">
                  <c:v>5671988.8251341349</c:v>
                </c:pt>
                <c:pt idx="69">
                  <c:v>5203002.5691080019</c:v>
                </c:pt>
                <c:pt idx="70">
                  <c:v>4734016.3130818699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'F- Form'!$E$72</c:f>
              <c:strCache>
                <c:ptCount val="1"/>
                <c:pt idx="0">
                  <c:v>Saldos netos nominales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9.6704342653182646E-2"/>
                  <c:y val="-1.8530463690393333E-17"/>
                </c:manualLayout>
              </c:layout>
              <c:tx>
                <c:rich>
                  <a:bodyPr/>
                  <a:lstStyle/>
                  <a:p>
                    <a:fld id="{013E0BDF-E374-4AA4-9579-D2EE1D45EA46}" type="YVALUE">
                      <a:rPr lang="en-US"/>
                      <a:pPr/>
                      <a:t>[VALOR DE Y]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'F- Form'!$A$73:$A$143</c:f>
              <c:numCache>
                <c:formatCode>0.00%</c:formatCode>
                <c:ptCount val="7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0.53841441857577443</c:v>
                </c:pt>
                <c:pt idx="55" formatCode="0%">
                  <c:v>0.55000000000000004</c:v>
                </c:pt>
                <c:pt idx="56" formatCode="0%">
                  <c:v>0.56000000000000005</c:v>
                </c:pt>
                <c:pt idx="57" formatCode="0%">
                  <c:v>0.56999999999999995</c:v>
                </c:pt>
                <c:pt idx="58" formatCode="0%">
                  <c:v>0.57999999999999996</c:v>
                </c:pt>
                <c:pt idx="59" formatCode="0%">
                  <c:v>0.59</c:v>
                </c:pt>
                <c:pt idx="60" formatCode="0%">
                  <c:v>0.6</c:v>
                </c:pt>
                <c:pt idx="61" formatCode="0%">
                  <c:v>0.60914232274778057</c:v>
                </c:pt>
                <c:pt idx="62" formatCode="0%">
                  <c:v>0.62</c:v>
                </c:pt>
                <c:pt idx="63" formatCode="0%">
                  <c:v>0.63</c:v>
                </c:pt>
                <c:pt idx="64" formatCode="0%">
                  <c:v>0.64</c:v>
                </c:pt>
                <c:pt idx="65" formatCode="0%">
                  <c:v>0.65</c:v>
                </c:pt>
                <c:pt idx="66" formatCode="0%">
                  <c:v>0.66</c:v>
                </c:pt>
                <c:pt idx="67" formatCode="0%">
                  <c:v>0.67</c:v>
                </c:pt>
                <c:pt idx="68" formatCode="0%">
                  <c:v>0.68</c:v>
                </c:pt>
                <c:pt idx="69" formatCode="0%">
                  <c:v>0.69</c:v>
                </c:pt>
                <c:pt idx="70" formatCode="0%">
                  <c:v>0.7</c:v>
                </c:pt>
              </c:numCache>
            </c:numRef>
          </c:xVal>
          <c:yVal>
            <c:numRef>
              <c:f>'F- Form'!$E$73:$E$143</c:f>
              <c:numCache>
                <c:formatCode>_(\$* #,##0_);_(\$* \(#,##0\);_(\$* \-??_);_(@_)</c:formatCode>
                <c:ptCount val="71"/>
                <c:pt idx="0">
                  <c:v>37563054.234911174</c:v>
                </c:pt>
                <c:pt idx="1">
                  <c:v>37563054.234911174</c:v>
                </c:pt>
                <c:pt idx="2">
                  <c:v>37563054.234911174</c:v>
                </c:pt>
                <c:pt idx="3">
                  <c:v>37563054.234911174</c:v>
                </c:pt>
                <c:pt idx="4">
                  <c:v>37563054.234911174</c:v>
                </c:pt>
                <c:pt idx="5">
                  <c:v>37563054.234911174</c:v>
                </c:pt>
                <c:pt idx="6">
                  <c:v>37563054.234911174</c:v>
                </c:pt>
                <c:pt idx="7">
                  <c:v>37563054.234911174</c:v>
                </c:pt>
                <c:pt idx="8">
                  <c:v>37563054.234911174</c:v>
                </c:pt>
                <c:pt idx="9">
                  <c:v>37563054.234911174</c:v>
                </c:pt>
                <c:pt idx="10">
                  <c:v>37563054.234911174</c:v>
                </c:pt>
                <c:pt idx="11">
                  <c:v>37563054.234911174</c:v>
                </c:pt>
                <c:pt idx="12">
                  <c:v>37563054.234911174</c:v>
                </c:pt>
                <c:pt idx="13">
                  <c:v>37563054.234911174</c:v>
                </c:pt>
                <c:pt idx="14">
                  <c:v>37563054.234911174</c:v>
                </c:pt>
                <c:pt idx="15">
                  <c:v>37563054.234911174</c:v>
                </c:pt>
                <c:pt idx="16">
                  <c:v>37563054.234911174</c:v>
                </c:pt>
                <c:pt idx="17">
                  <c:v>37563054.234911174</c:v>
                </c:pt>
                <c:pt idx="18">
                  <c:v>37563054.234911174</c:v>
                </c:pt>
                <c:pt idx="19">
                  <c:v>37563054.234911174</c:v>
                </c:pt>
                <c:pt idx="20">
                  <c:v>37563054.234911174</c:v>
                </c:pt>
                <c:pt idx="21">
                  <c:v>37563054.234911174</c:v>
                </c:pt>
                <c:pt idx="22">
                  <c:v>37563054.234911174</c:v>
                </c:pt>
                <c:pt idx="23">
                  <c:v>37563054.234911174</c:v>
                </c:pt>
                <c:pt idx="24">
                  <c:v>37563054.234911174</c:v>
                </c:pt>
                <c:pt idx="25">
                  <c:v>37563054.234911174</c:v>
                </c:pt>
                <c:pt idx="26">
                  <c:v>37563054.234911174</c:v>
                </c:pt>
                <c:pt idx="27">
                  <c:v>37563054.234911174</c:v>
                </c:pt>
                <c:pt idx="28">
                  <c:v>37563054.234911174</c:v>
                </c:pt>
                <c:pt idx="29">
                  <c:v>37563054.234911174</c:v>
                </c:pt>
                <c:pt idx="30">
                  <c:v>37563054.234911174</c:v>
                </c:pt>
                <c:pt idx="31">
                  <c:v>37563054.234911174</c:v>
                </c:pt>
                <c:pt idx="32">
                  <c:v>37563054.234911174</c:v>
                </c:pt>
                <c:pt idx="33">
                  <c:v>37563054.234911174</c:v>
                </c:pt>
                <c:pt idx="34">
                  <c:v>37563054.234911174</c:v>
                </c:pt>
                <c:pt idx="35">
                  <c:v>37563054.234911174</c:v>
                </c:pt>
                <c:pt idx="36">
                  <c:v>37563054.234911174</c:v>
                </c:pt>
                <c:pt idx="37">
                  <c:v>37563054.234911174</c:v>
                </c:pt>
                <c:pt idx="38">
                  <c:v>37563054.234911174</c:v>
                </c:pt>
                <c:pt idx="39">
                  <c:v>37563054.234911174</c:v>
                </c:pt>
                <c:pt idx="40">
                  <c:v>37563054.234911174</c:v>
                </c:pt>
                <c:pt idx="41">
                  <c:v>37563054.234911174</c:v>
                </c:pt>
                <c:pt idx="42">
                  <c:v>37563054.234911174</c:v>
                </c:pt>
                <c:pt idx="43">
                  <c:v>37563054.234911174</c:v>
                </c:pt>
                <c:pt idx="44">
                  <c:v>37563054.234911174</c:v>
                </c:pt>
                <c:pt idx="45">
                  <c:v>37563054.234911174</c:v>
                </c:pt>
                <c:pt idx="46">
                  <c:v>37563054.234911174</c:v>
                </c:pt>
                <c:pt idx="47">
                  <c:v>37563054.234911174</c:v>
                </c:pt>
                <c:pt idx="48">
                  <c:v>37563054.234911174</c:v>
                </c:pt>
                <c:pt idx="49">
                  <c:v>37563054.234911174</c:v>
                </c:pt>
                <c:pt idx="50">
                  <c:v>37563054.234911174</c:v>
                </c:pt>
                <c:pt idx="51">
                  <c:v>37563054.234911174</c:v>
                </c:pt>
                <c:pt idx="52">
                  <c:v>37563054.234911174</c:v>
                </c:pt>
                <c:pt idx="53">
                  <c:v>37563054.234911174</c:v>
                </c:pt>
                <c:pt idx="54">
                  <c:v>37563054.234911174</c:v>
                </c:pt>
                <c:pt idx="55">
                  <c:v>37563054.234911174</c:v>
                </c:pt>
                <c:pt idx="56">
                  <c:v>37563054.234911174</c:v>
                </c:pt>
                <c:pt idx="57">
                  <c:v>37563054.234911174</c:v>
                </c:pt>
                <c:pt idx="58">
                  <c:v>37563054.234911174</c:v>
                </c:pt>
                <c:pt idx="59">
                  <c:v>37563054.234911174</c:v>
                </c:pt>
                <c:pt idx="60">
                  <c:v>37563054.234911174</c:v>
                </c:pt>
                <c:pt idx="61">
                  <c:v>37563054.234911174</c:v>
                </c:pt>
                <c:pt idx="62">
                  <c:v>37563054.234911174</c:v>
                </c:pt>
                <c:pt idx="63">
                  <c:v>37563054.234911174</c:v>
                </c:pt>
                <c:pt idx="64">
                  <c:v>37563054.234911174</c:v>
                </c:pt>
                <c:pt idx="65">
                  <c:v>37563054.234911174</c:v>
                </c:pt>
                <c:pt idx="66">
                  <c:v>37563054.234911174</c:v>
                </c:pt>
                <c:pt idx="67">
                  <c:v>37563054.234911174</c:v>
                </c:pt>
                <c:pt idx="68">
                  <c:v>37563054.234911174</c:v>
                </c:pt>
                <c:pt idx="69">
                  <c:v>37563054.234911174</c:v>
                </c:pt>
                <c:pt idx="70">
                  <c:v>37563054.234911174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'F- Form'!$H$72</c:f>
              <c:strCache>
                <c:ptCount val="1"/>
                <c:pt idx="0">
                  <c:v>Tasa Kcap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063951622274101E-2"/>
                  <c:y val="3.930324063840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  <a:p>
                    <a:r>
                      <a:rPr lang="en-US"/>
                      <a:t>Kcap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'F- Form'!$H$73:$H$143</c:f>
              <c:numCache>
                <c:formatCode>0%</c:formatCode>
                <c:ptCount val="71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0.16</c:v>
                </c:pt>
                <c:pt idx="7">
                  <c:v>0.16</c:v>
                </c:pt>
                <c:pt idx="8">
                  <c:v>0.16</c:v>
                </c:pt>
                <c:pt idx="9">
                  <c:v>0.16</c:v>
                </c:pt>
                <c:pt idx="10">
                  <c:v>0.16</c:v>
                </c:pt>
                <c:pt idx="11">
                  <c:v>0.16</c:v>
                </c:pt>
                <c:pt idx="12">
                  <c:v>0.16</c:v>
                </c:pt>
                <c:pt idx="13">
                  <c:v>0.16</c:v>
                </c:pt>
                <c:pt idx="14">
                  <c:v>0.16</c:v>
                </c:pt>
                <c:pt idx="15">
                  <c:v>0.16</c:v>
                </c:pt>
                <c:pt idx="16">
                  <c:v>0.16</c:v>
                </c:pt>
                <c:pt idx="17">
                  <c:v>0.16</c:v>
                </c:pt>
                <c:pt idx="18">
                  <c:v>0.16</c:v>
                </c:pt>
                <c:pt idx="19">
                  <c:v>0.16</c:v>
                </c:pt>
                <c:pt idx="20">
                  <c:v>0.16</c:v>
                </c:pt>
                <c:pt idx="21">
                  <c:v>0.16</c:v>
                </c:pt>
                <c:pt idx="22">
                  <c:v>0.16</c:v>
                </c:pt>
                <c:pt idx="23">
                  <c:v>0.16</c:v>
                </c:pt>
                <c:pt idx="24">
                  <c:v>0.16</c:v>
                </c:pt>
                <c:pt idx="25">
                  <c:v>0.16</c:v>
                </c:pt>
                <c:pt idx="26">
                  <c:v>0.16</c:v>
                </c:pt>
                <c:pt idx="27">
                  <c:v>0.16</c:v>
                </c:pt>
                <c:pt idx="28">
                  <c:v>0.16</c:v>
                </c:pt>
                <c:pt idx="29">
                  <c:v>0.16</c:v>
                </c:pt>
                <c:pt idx="30">
                  <c:v>0.16</c:v>
                </c:pt>
                <c:pt idx="31">
                  <c:v>0.16</c:v>
                </c:pt>
                <c:pt idx="32">
                  <c:v>0.16</c:v>
                </c:pt>
                <c:pt idx="33">
                  <c:v>0.16</c:v>
                </c:pt>
                <c:pt idx="34">
                  <c:v>0.16</c:v>
                </c:pt>
                <c:pt idx="35">
                  <c:v>0.16</c:v>
                </c:pt>
                <c:pt idx="36">
                  <c:v>0.16</c:v>
                </c:pt>
                <c:pt idx="37">
                  <c:v>0.16</c:v>
                </c:pt>
                <c:pt idx="38">
                  <c:v>0.16</c:v>
                </c:pt>
                <c:pt idx="39">
                  <c:v>0.16</c:v>
                </c:pt>
                <c:pt idx="40">
                  <c:v>0.16</c:v>
                </c:pt>
                <c:pt idx="41">
                  <c:v>0.16</c:v>
                </c:pt>
                <c:pt idx="42">
                  <c:v>0.16</c:v>
                </c:pt>
                <c:pt idx="43">
                  <c:v>0.16</c:v>
                </c:pt>
                <c:pt idx="44">
                  <c:v>0.16</c:v>
                </c:pt>
                <c:pt idx="45">
                  <c:v>0.16</c:v>
                </c:pt>
                <c:pt idx="46">
                  <c:v>0.16</c:v>
                </c:pt>
                <c:pt idx="47">
                  <c:v>0.16</c:v>
                </c:pt>
                <c:pt idx="48">
                  <c:v>0.16</c:v>
                </c:pt>
                <c:pt idx="49">
                  <c:v>0.16</c:v>
                </c:pt>
                <c:pt idx="50">
                  <c:v>0.16</c:v>
                </c:pt>
                <c:pt idx="51">
                  <c:v>0.16</c:v>
                </c:pt>
                <c:pt idx="52">
                  <c:v>0.16</c:v>
                </c:pt>
                <c:pt idx="53">
                  <c:v>0.16</c:v>
                </c:pt>
                <c:pt idx="54">
                  <c:v>0.16</c:v>
                </c:pt>
                <c:pt idx="55">
                  <c:v>0.16</c:v>
                </c:pt>
                <c:pt idx="56">
                  <c:v>0.16</c:v>
                </c:pt>
                <c:pt idx="57">
                  <c:v>0.16</c:v>
                </c:pt>
                <c:pt idx="58">
                  <c:v>0.16</c:v>
                </c:pt>
                <c:pt idx="59">
                  <c:v>0.16</c:v>
                </c:pt>
                <c:pt idx="60">
                  <c:v>0.16</c:v>
                </c:pt>
                <c:pt idx="61">
                  <c:v>0.16</c:v>
                </c:pt>
                <c:pt idx="62">
                  <c:v>0.16</c:v>
                </c:pt>
                <c:pt idx="63">
                  <c:v>0.16</c:v>
                </c:pt>
                <c:pt idx="64">
                  <c:v>0.16</c:v>
                </c:pt>
                <c:pt idx="65">
                  <c:v>0.16</c:v>
                </c:pt>
                <c:pt idx="66">
                  <c:v>0.16</c:v>
                </c:pt>
                <c:pt idx="67">
                  <c:v>0.16</c:v>
                </c:pt>
                <c:pt idx="68">
                  <c:v>0.16</c:v>
                </c:pt>
                <c:pt idx="69">
                  <c:v>0.16</c:v>
                </c:pt>
                <c:pt idx="70">
                  <c:v>0.16</c:v>
                </c:pt>
              </c:numCache>
            </c:numRef>
          </c:xVal>
          <c:yVal>
            <c:numRef>
              <c:f>'F- Form'!$G$73:$G$143</c:f>
              <c:numCache>
                <c:formatCode>0</c:formatCode>
                <c:ptCount val="71"/>
                <c:pt idx="0" formatCode="General">
                  <c:v>0</c:v>
                </c:pt>
                <c:pt idx="1">
                  <c:v>571428.57142855728</c:v>
                </c:pt>
                <c:pt idx="2">
                  <c:v>1142857.1428571288</c:v>
                </c:pt>
                <c:pt idx="3">
                  <c:v>1714285.7142857001</c:v>
                </c:pt>
                <c:pt idx="4">
                  <c:v>2285714.2857142715</c:v>
                </c:pt>
                <c:pt idx="5">
                  <c:v>2857142.8571428428</c:v>
                </c:pt>
                <c:pt idx="6">
                  <c:v>3428571.4285714142</c:v>
                </c:pt>
                <c:pt idx="7">
                  <c:v>3999999.9999999856</c:v>
                </c:pt>
                <c:pt idx="8">
                  <c:v>4571428.5714285569</c:v>
                </c:pt>
                <c:pt idx="9">
                  <c:v>5142857.1428571288</c:v>
                </c:pt>
                <c:pt idx="10">
                  <c:v>5714285.7142857006</c:v>
                </c:pt>
                <c:pt idx="11">
                  <c:v>6285714.2857142724</c:v>
                </c:pt>
                <c:pt idx="12">
                  <c:v>6857142.8571428442</c:v>
                </c:pt>
                <c:pt idx="13">
                  <c:v>7428571.4285714161</c:v>
                </c:pt>
                <c:pt idx="14">
                  <c:v>7999999.9999999879</c:v>
                </c:pt>
                <c:pt idx="15">
                  <c:v>8571428.5714285597</c:v>
                </c:pt>
                <c:pt idx="16">
                  <c:v>9142857.1428571306</c:v>
                </c:pt>
                <c:pt idx="17">
                  <c:v>9714285.7142857015</c:v>
                </c:pt>
                <c:pt idx="18">
                  <c:v>10285714.285714272</c:v>
                </c:pt>
                <c:pt idx="19">
                  <c:v>10857142.857142843</c:v>
                </c:pt>
                <c:pt idx="20">
                  <c:v>11428571.428571414</c:v>
                </c:pt>
                <c:pt idx="21">
                  <c:v>11999999.999999985</c:v>
                </c:pt>
                <c:pt idx="22">
                  <c:v>12571428.571428556</c:v>
                </c:pt>
                <c:pt idx="23">
                  <c:v>13142857.142857127</c:v>
                </c:pt>
                <c:pt idx="24">
                  <c:v>13714285.714285698</c:v>
                </c:pt>
                <c:pt idx="25">
                  <c:v>14285714.285714269</c:v>
                </c:pt>
                <c:pt idx="26">
                  <c:v>14857142.85714284</c:v>
                </c:pt>
                <c:pt idx="27">
                  <c:v>15428571.42857141</c:v>
                </c:pt>
                <c:pt idx="28">
                  <c:v>15999999.999999981</c:v>
                </c:pt>
                <c:pt idx="29">
                  <c:v>16571428.571428552</c:v>
                </c:pt>
                <c:pt idx="30">
                  <c:v>17142857.142857123</c:v>
                </c:pt>
                <c:pt idx="31">
                  <c:v>17714285.714285694</c:v>
                </c:pt>
                <c:pt idx="32">
                  <c:v>18285714.285714265</c:v>
                </c:pt>
                <c:pt idx="33">
                  <c:v>18857142.857142836</c:v>
                </c:pt>
                <c:pt idx="34">
                  <c:v>19428571.428571407</c:v>
                </c:pt>
                <c:pt idx="35">
                  <c:v>19999999.999999978</c:v>
                </c:pt>
                <c:pt idx="36">
                  <c:v>20571428.571428549</c:v>
                </c:pt>
                <c:pt idx="37">
                  <c:v>21142857.142857119</c:v>
                </c:pt>
                <c:pt idx="38">
                  <c:v>21714285.71428569</c:v>
                </c:pt>
                <c:pt idx="39">
                  <c:v>22285714.285714261</c:v>
                </c:pt>
                <c:pt idx="40">
                  <c:v>22857142.857142832</c:v>
                </c:pt>
                <c:pt idx="41">
                  <c:v>23428571.428571403</c:v>
                </c:pt>
                <c:pt idx="42">
                  <c:v>23999999.999999974</c:v>
                </c:pt>
                <c:pt idx="43">
                  <c:v>24571428.571428545</c:v>
                </c:pt>
                <c:pt idx="44">
                  <c:v>25142857.142857116</c:v>
                </c:pt>
                <c:pt idx="45">
                  <c:v>25714285.714285687</c:v>
                </c:pt>
                <c:pt idx="46">
                  <c:v>26285714.285714258</c:v>
                </c:pt>
                <c:pt idx="47">
                  <c:v>26857142.857142828</c:v>
                </c:pt>
                <c:pt idx="48">
                  <c:v>27428571.428571399</c:v>
                </c:pt>
                <c:pt idx="49">
                  <c:v>27999999.99999997</c:v>
                </c:pt>
                <c:pt idx="50">
                  <c:v>28571428.571428541</c:v>
                </c:pt>
                <c:pt idx="51">
                  <c:v>29142857.142857112</c:v>
                </c:pt>
                <c:pt idx="52">
                  <c:v>29714285.714285683</c:v>
                </c:pt>
                <c:pt idx="53">
                  <c:v>30285714.285714254</c:v>
                </c:pt>
                <c:pt idx="54">
                  <c:v>30857142.857142825</c:v>
                </c:pt>
                <c:pt idx="55">
                  <c:v>31428571.428571396</c:v>
                </c:pt>
                <c:pt idx="56">
                  <c:v>31999999.999999966</c:v>
                </c:pt>
                <c:pt idx="57">
                  <c:v>32571428.571428537</c:v>
                </c:pt>
                <c:pt idx="58">
                  <c:v>33142857.142857108</c:v>
                </c:pt>
                <c:pt idx="59">
                  <c:v>33714285.714285679</c:v>
                </c:pt>
                <c:pt idx="60">
                  <c:v>34285714.285714254</c:v>
                </c:pt>
                <c:pt idx="61">
                  <c:v>34857142.857142828</c:v>
                </c:pt>
                <c:pt idx="62">
                  <c:v>35428571.428571403</c:v>
                </c:pt>
                <c:pt idx="63">
                  <c:v>35999999.999999978</c:v>
                </c:pt>
                <c:pt idx="64">
                  <c:v>36571428.571428552</c:v>
                </c:pt>
                <c:pt idx="65">
                  <c:v>37142857.142857127</c:v>
                </c:pt>
                <c:pt idx="66">
                  <c:v>37714285.714285702</c:v>
                </c:pt>
                <c:pt idx="67">
                  <c:v>38285714.285714276</c:v>
                </c:pt>
                <c:pt idx="68">
                  <c:v>38857142.857142851</c:v>
                </c:pt>
                <c:pt idx="69">
                  <c:v>39428571.428571425</c:v>
                </c:pt>
                <c:pt idx="70" formatCode="General">
                  <c:v>40000000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175280"/>
        <c:axId val="430177240"/>
      </c:scatterChart>
      <c:valAx>
        <c:axId val="43017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0177240"/>
        <c:crosses val="autoZero"/>
        <c:crossBetween val="midCat"/>
      </c:valAx>
      <c:valAx>
        <c:axId val="43017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\$* #,##0_);_(\$* \(#,##0\);_(\$* \-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30175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1210235</xdr:colOff>
      <xdr:row>249</xdr:row>
      <xdr:rowOff>123265</xdr:rowOff>
    </xdr:from>
    <xdr:to>
      <xdr:col>10</xdr:col>
      <xdr:colOff>300318</xdr:colOff>
      <xdr:row>307</xdr:row>
      <xdr:rowOff>34177</xdr:rowOff>
    </xdr:to>
    <xdr:graphicFrame macro="">
      <xdr:nvGraphicFramePr>
        <xdr:cNvPr id="2" name="5 Gráfico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209550</xdr:colOff>
      <xdr:row>280</xdr:row>
      <xdr:rowOff>9525</xdr:rowOff>
    </xdr:from>
    <xdr:to>
      <xdr:col>8</xdr:col>
      <xdr:colOff>819150</xdr:colOff>
      <xdr:row>282</xdr:row>
      <xdr:rowOff>66675</xdr:rowOff>
    </xdr:to>
    <xdr:sp macro="" textlink="">
      <xdr:nvSpPr>
        <xdr:cNvPr id="3" name="17 CuadroTexto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1039475" y="50911125"/>
          <a:ext cx="19526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TOTAL Año 5</a:t>
          </a:r>
          <a:endParaRPr lang="es-AR" sz="1600" b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0</xdr:colOff>
      <xdr:row>235</xdr:row>
      <xdr:rowOff>0</xdr:rowOff>
    </xdr:from>
    <xdr:to>
      <xdr:col>0</xdr:col>
      <xdr:colOff>0</xdr:colOff>
      <xdr:row>248</xdr:row>
      <xdr:rowOff>19050</xdr:rowOff>
    </xdr:to>
    <xdr:cxnSp macro="">
      <xdr:nvCxnSpPr>
        <xdr:cNvPr id="5" name="7 Conector recto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 bwMode="auto">
        <a:xfrm>
          <a:off x="0" y="43319700"/>
          <a:ext cx="0" cy="2419350"/>
        </a:xfrm>
        <a:prstGeom prst="line">
          <a:avLst/>
        </a:prstGeom>
        <a:solidFill>
          <a:srgbClr val="090000"/>
        </a:solidFill>
        <a:ln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574300</xdr:colOff>
      <xdr:row>283</xdr:row>
      <xdr:rowOff>38657</xdr:rowOff>
    </xdr:from>
    <xdr:to>
      <xdr:col>4</xdr:col>
      <xdr:colOff>209548</xdr:colOff>
      <xdr:row>285</xdr:row>
      <xdr:rowOff>128866</xdr:rowOff>
    </xdr:to>
    <xdr:sp macro="" textlink="">
      <xdr:nvSpPr>
        <xdr:cNvPr id="6" name="23 CuadroTexto">
          <a:extLst>
            <a:ext uri="{FF2B5EF4-FFF2-40B4-BE49-F238E27FC236}">
              <a16:creationId xmlns="" xmlns:a16="http://schemas.microsoft.com/office/drawing/2014/main" id="{66AB87BD-61C9-4DEA-89CC-94AA194DA370}"/>
            </a:ext>
          </a:extLst>
        </xdr:cNvPr>
        <xdr:cNvSpPr txBox="1"/>
      </xdr:nvSpPr>
      <xdr:spPr>
        <a:xfrm>
          <a:off x="4793875" y="51426032"/>
          <a:ext cx="2549898" cy="4140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800" b="1">
              <a:solidFill>
                <a:schemeClr val="accent1"/>
              </a:solidFill>
            </a:rPr>
            <a:t>Pto</a:t>
          </a:r>
          <a:r>
            <a:rPr lang="es-AR" sz="1800" b="1" baseline="0">
              <a:solidFill>
                <a:schemeClr val="accent1"/>
              </a:solidFill>
            </a:rPr>
            <a:t> Eq Año 5 = 36,5%</a:t>
          </a:r>
          <a:endParaRPr lang="es-AR" sz="1800" b="1">
            <a:solidFill>
              <a:schemeClr val="accent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0.70728</cdr:x>
      <cdr:y>0.6654</cdr:y>
    </cdr:from>
    <cdr:to>
      <cdr:x>0.85348</cdr:x>
      <cdr:y>0.68891</cdr:y>
    </cdr:to>
    <cdr:sp macro="" textlink="">
      <cdr:nvSpPr>
        <cdr:cNvPr id="2" name="17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F199B1C7-2434-467C-ADB2-ACD1E4C71CE9}"/>
            </a:ext>
          </a:extLst>
        </cdr:cNvPr>
        <cdr:cNvSpPr txBox="1"/>
      </cdr:nvSpPr>
      <cdr:spPr>
        <a:xfrm xmlns:a="http://schemas.openxmlformats.org/drawingml/2006/main">
          <a:off x="10148858" y="6189923"/>
          <a:ext cx="2097788" cy="21871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TOTAL Año 1</a:t>
          </a:r>
          <a:endParaRPr lang="es-AR" sz="16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0.25604</cdr:x>
      <cdr:y>0.23337</cdr:y>
    </cdr:from>
    <cdr:to>
      <cdr:x>0.39696</cdr:x>
      <cdr:y>0.24747</cdr:y>
    </cdr:to>
    <cdr:sp macro="" textlink="">
      <cdr:nvSpPr>
        <cdr:cNvPr id="3" name="15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4000A3AF-F92E-464D-8B8A-AC07C4ACA907}"/>
            </a:ext>
          </a:extLst>
        </cdr:cNvPr>
        <cdr:cNvSpPr txBox="1"/>
      </cdr:nvSpPr>
      <cdr:spPr>
        <a:xfrm xmlns:a="http://schemas.openxmlformats.org/drawingml/2006/main">
          <a:off x="3365500" y="2127250"/>
          <a:ext cx="1852280" cy="1285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4">
                  <a:lumMod val="75000"/>
                </a:schemeClr>
              </a:solidFill>
            </a:rPr>
            <a:t>VENTAS Año 1</a:t>
          </a:r>
        </a:p>
      </cdr:txBody>
    </cdr:sp>
  </cdr:relSizeAnchor>
  <cdr:relSizeAnchor xmlns:cdr="http://schemas.openxmlformats.org/drawingml/2006/chartDrawing">
    <cdr:from>
      <cdr:x>0.39807</cdr:x>
      <cdr:y>0.10693</cdr:y>
    </cdr:from>
    <cdr:to>
      <cdr:x>0.53898</cdr:x>
      <cdr:y>0.14089</cdr:y>
    </cdr:to>
    <cdr:sp macro="" textlink="">
      <cdr:nvSpPr>
        <cdr:cNvPr id="4" name="15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0000000}"/>
            </a:ext>
          </a:extLst>
        </cdr:cNvPr>
        <cdr:cNvSpPr txBox="1"/>
      </cdr:nvSpPr>
      <cdr:spPr>
        <a:xfrm xmlns:a="http://schemas.openxmlformats.org/drawingml/2006/main">
          <a:off x="5232400" y="974725"/>
          <a:ext cx="1852280" cy="30956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chemeClr val="accent6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6">
                  <a:lumMod val="50000"/>
                </a:schemeClr>
              </a:solidFill>
            </a:rPr>
            <a:t>VENTAS Año 5</a:t>
          </a:r>
        </a:p>
      </cdr:txBody>
    </cdr:sp>
  </cdr:relSizeAnchor>
  <cdr:relSizeAnchor xmlns:cdr="http://schemas.openxmlformats.org/drawingml/2006/chartDrawing">
    <cdr:from>
      <cdr:x>0.27271</cdr:x>
      <cdr:y>0.44549</cdr:y>
    </cdr:from>
    <cdr:to>
      <cdr:x>0.4189</cdr:x>
      <cdr:y>0.469</cdr:y>
    </cdr:to>
    <cdr:sp macro="" textlink="">
      <cdr:nvSpPr>
        <cdr:cNvPr id="5" name="17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2000000}"/>
            </a:ext>
          </a:extLst>
        </cdr:cNvPr>
        <cdr:cNvSpPr txBox="1"/>
      </cdr:nvSpPr>
      <cdr:spPr>
        <a:xfrm xmlns:a="http://schemas.openxmlformats.org/drawingml/2006/main">
          <a:off x="3584575" y="4060825"/>
          <a:ext cx="1921675" cy="2143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TOTAL Año 5</a:t>
          </a:r>
          <a:endParaRPr lang="es-AR" sz="16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0.85749</cdr:x>
      <cdr:y>0.35772</cdr:y>
    </cdr:from>
    <cdr:to>
      <cdr:x>0.97892</cdr:x>
      <cdr:y>0.37962</cdr:y>
    </cdr:to>
    <cdr:sp macro="" textlink="">
      <cdr:nvSpPr>
        <cdr:cNvPr id="6" name="16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6940763B-DCE4-4E3D-A44A-B352821179C0}"/>
            </a:ext>
          </a:extLst>
        </cdr:cNvPr>
        <cdr:cNvSpPr txBox="1"/>
      </cdr:nvSpPr>
      <cdr:spPr>
        <a:xfrm xmlns:a="http://schemas.openxmlformats.org/drawingml/2006/main">
          <a:off x="11271250" y="3260725"/>
          <a:ext cx="1596113" cy="1996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 i="0">
              <a:solidFill>
                <a:schemeClr val="accent4">
                  <a:lumMod val="75000"/>
                </a:schemeClr>
              </a:solidFill>
            </a:rPr>
            <a:t>INGRESOS Año</a:t>
          </a:r>
          <a:r>
            <a:rPr lang="es-AR" sz="1600" b="1" i="0" baseline="0">
              <a:solidFill>
                <a:schemeClr val="accent4">
                  <a:lumMod val="75000"/>
                </a:schemeClr>
              </a:solidFill>
            </a:rPr>
            <a:t> 1</a:t>
          </a:r>
          <a:endParaRPr lang="es-AR" sz="1400" b="1" i="0">
            <a:solidFill>
              <a:schemeClr val="accent4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0.66039</cdr:x>
      <cdr:y>0.8457</cdr:y>
    </cdr:from>
    <cdr:to>
      <cdr:x>0.80003</cdr:x>
      <cdr:y>0.86652</cdr:y>
    </cdr:to>
    <cdr:sp macro="" textlink="">
      <cdr:nvSpPr>
        <cdr:cNvPr id="9" name="18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B1A31A45-F8DE-49D0-861B-7A9423EA911A}"/>
            </a:ext>
          </a:extLst>
        </cdr:cNvPr>
        <cdr:cNvSpPr txBox="1"/>
      </cdr:nvSpPr>
      <cdr:spPr>
        <a:xfrm xmlns:a="http://schemas.openxmlformats.org/drawingml/2006/main">
          <a:off x="8680450" y="7708900"/>
          <a:ext cx="1835609" cy="18982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FIJO Año 1</a:t>
          </a:r>
          <a:endParaRPr lang="es-AR" sz="1600" b="1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0.86035</cdr:x>
      <cdr:y>0.72748</cdr:y>
    </cdr:from>
    <cdr:to>
      <cdr:x>1</cdr:x>
      <cdr:y>0.7483</cdr:y>
    </cdr:to>
    <cdr:sp macro="" textlink="">
      <cdr:nvSpPr>
        <cdr:cNvPr id="10" name="18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3000000}"/>
            </a:ext>
          </a:extLst>
        </cdr:cNvPr>
        <cdr:cNvSpPr txBox="1"/>
      </cdr:nvSpPr>
      <cdr:spPr>
        <a:xfrm xmlns:a="http://schemas.openxmlformats.org/drawingml/2006/main">
          <a:off x="12345299" y="6767428"/>
          <a:ext cx="2003834" cy="19371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FIJO Año 5</a:t>
          </a:r>
          <a:endParaRPr lang="es-AR" sz="1600" b="1">
            <a:solidFill>
              <a:schemeClr val="accent2"/>
            </a:solidFill>
          </a:endParaRPr>
        </a:p>
      </cdr:txBody>
    </cdr:sp>
  </cdr:relSizeAnchor>
  <cdr:relSizeAnchor xmlns:cdr="http://schemas.openxmlformats.org/drawingml/2006/chartDrawing">
    <cdr:from>
      <cdr:x>0.4116</cdr:x>
      <cdr:y>0.65668</cdr:y>
    </cdr:from>
    <cdr:to>
      <cdr:x>0.413</cdr:x>
      <cdr:y>0.94594</cdr:y>
    </cdr:to>
    <cdr:cxnSp macro="">
      <cdr:nvCxnSpPr>
        <cdr:cNvPr id="11" name="7 Conector rec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08000000}"/>
            </a:ext>
          </a:extLst>
        </cdr:cNvPr>
        <cdr:cNvCxnSpPr/>
      </cdr:nvCxnSpPr>
      <cdr:spPr bwMode="auto">
        <a:xfrm xmlns:a="http://schemas.openxmlformats.org/drawingml/2006/main">
          <a:off x="5916705" y="5916705"/>
          <a:ext cx="20144" cy="2606308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0.80641</cdr:x>
      <cdr:y>0.17955</cdr:y>
    </cdr:from>
    <cdr:to>
      <cdr:x>0.92763</cdr:x>
      <cdr:y>0.20216</cdr:y>
    </cdr:to>
    <cdr:sp macro="" textlink="">
      <cdr:nvSpPr>
        <cdr:cNvPr id="13" name="16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11000000}"/>
            </a:ext>
          </a:extLst>
        </cdr:cNvPr>
        <cdr:cNvSpPr txBox="1"/>
      </cdr:nvSpPr>
      <cdr:spPr>
        <a:xfrm xmlns:a="http://schemas.openxmlformats.org/drawingml/2006/main">
          <a:off x="10617947" y="1586006"/>
          <a:ext cx="1596113" cy="1996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600" b="1" i="0">
              <a:solidFill>
                <a:schemeClr val="accent6">
                  <a:lumMod val="50000"/>
                </a:schemeClr>
              </a:solidFill>
            </a:rPr>
            <a:t>INGRESOS Año</a:t>
          </a:r>
          <a:r>
            <a:rPr lang="es-AR" sz="1600" b="1" i="0" baseline="0">
              <a:solidFill>
                <a:schemeClr val="accent6">
                  <a:lumMod val="50000"/>
                </a:schemeClr>
              </a:solidFill>
            </a:rPr>
            <a:t> 5</a:t>
          </a:r>
          <a:endParaRPr lang="es-AR" sz="1400" b="1" i="0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0.08575</cdr:x>
      <cdr:y>0.65046</cdr:y>
    </cdr:from>
    <cdr:to>
      <cdr:x>0.41238</cdr:x>
      <cdr:y>0.65294</cdr:y>
    </cdr:to>
    <cdr:cxnSp macro="">
      <cdr:nvCxnSpPr>
        <cdr:cNvPr id="14" name="8 Conector rec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00000000-0008-0000-0700-000009000000}"/>
            </a:ext>
          </a:extLst>
        </cdr:cNvPr>
        <cdr:cNvCxnSpPr/>
      </cdr:nvCxnSpPr>
      <cdr:spPr bwMode="auto">
        <a:xfrm xmlns:a="http://schemas.openxmlformats.org/drawingml/2006/main">
          <a:off x="1232647" y="5860676"/>
          <a:ext cx="4695265" cy="22411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0.44746</cdr:x>
      <cdr:y>0.66787</cdr:y>
    </cdr:from>
    <cdr:to>
      <cdr:x>0.44746</cdr:x>
      <cdr:y>0.94273</cdr:y>
    </cdr:to>
    <cdr:cxnSp macro="">
      <cdr:nvCxnSpPr>
        <cdr:cNvPr id="16" name="7 Conector recto">
          <a:extLst xmlns:a="http://schemas.openxmlformats.org/drawingml/2006/main">
            <a:ext uri="{FF2B5EF4-FFF2-40B4-BE49-F238E27FC236}">
              <a16:creationId xmlns="" xmlns:a16="http://schemas.microsoft.com/office/drawing/2014/main" xmlns:xdr="http://schemas.openxmlformats.org/drawingml/2006/spreadsheetDrawing" xmlns:lc="http://schemas.openxmlformats.org/drawingml/2006/lockedCanvas" id="{00000000-0008-0000-0700-000008000000}"/>
            </a:ext>
          </a:extLst>
        </cdr:cNvPr>
        <cdr:cNvCxnSpPr/>
      </cdr:nvCxnSpPr>
      <cdr:spPr bwMode="auto">
        <a:xfrm xmlns:a="http://schemas.openxmlformats.org/drawingml/2006/main" flipH="1">
          <a:off x="6432177" y="6017558"/>
          <a:ext cx="1" cy="2476500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0.08497</cdr:x>
      <cdr:y>0.66649</cdr:y>
    </cdr:from>
    <cdr:to>
      <cdr:x>0.44769</cdr:x>
      <cdr:y>0.66663</cdr:y>
    </cdr:to>
    <cdr:cxnSp macro="">
      <cdr:nvCxnSpPr>
        <cdr:cNvPr id="19" name="8 Conector recto">
          <a:extLst xmlns:a="http://schemas.openxmlformats.org/drawingml/2006/main">
            <a:ext uri="{FF2B5EF4-FFF2-40B4-BE49-F238E27FC236}">
              <a16:creationId xmlns="" xmlns:a16="http://schemas.microsoft.com/office/drawing/2014/main" xmlns:xdr="http://schemas.openxmlformats.org/drawingml/2006/spreadsheetDrawing" xmlns:lc="http://schemas.openxmlformats.org/drawingml/2006/lockedCanvas" id="{00000000-0008-0000-0700-000009000000}"/>
            </a:ext>
          </a:extLst>
        </cdr:cNvPr>
        <cdr:cNvCxnSpPr/>
      </cdr:nvCxnSpPr>
      <cdr:spPr bwMode="auto">
        <a:xfrm xmlns:a="http://schemas.openxmlformats.org/drawingml/2006/main" flipV="1">
          <a:off x="1221441" y="6005108"/>
          <a:ext cx="5214122" cy="1244"/>
        </a:xfrm>
        <a:prstGeom xmlns:a="http://schemas.openxmlformats.org/drawingml/2006/main" prst="line">
          <a:avLst/>
        </a:prstGeom>
        <a:solidFill xmlns:a="http://schemas.openxmlformats.org/drawingml/2006/main">
          <a:srgbClr val="090000"/>
        </a:solidFill>
        <a:ln xmlns:a="http://schemas.openxmlformats.org/drawingml/2006/main"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0.48098</cdr:x>
      <cdr:y>0.65896</cdr:y>
    </cdr:from>
    <cdr:to>
      <cdr:x>0.6574</cdr:x>
      <cdr:y>0.69627</cdr:y>
    </cdr:to>
    <cdr:sp macro="" textlink="">
      <cdr:nvSpPr>
        <cdr:cNvPr id="22" name="23 CuadroTexto">
          <a:extLst xmlns:a="http://schemas.openxmlformats.org/drawingml/2006/main">
            <a:ext uri="{FF2B5EF4-FFF2-40B4-BE49-F238E27FC236}">
              <a16:creationId xmlns:xdr="http://schemas.openxmlformats.org/drawingml/2006/spreadsheetDrawing" xmlns:a16="http://schemas.microsoft.com/office/drawing/2014/main" xmlns="" xmlns:lc="http://schemas.openxmlformats.org/drawingml/2006/lockedCanvas" id="{66AB87BD-61C9-4DEA-89CC-94AA194DA370}"/>
            </a:ext>
          </a:extLst>
        </cdr:cNvPr>
        <cdr:cNvSpPr txBox="1"/>
      </cdr:nvSpPr>
      <cdr:spPr>
        <a:xfrm xmlns:a="http://schemas.openxmlformats.org/drawingml/2006/main">
          <a:off x="6901687" y="6130015"/>
          <a:ext cx="2531474" cy="34707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AR" sz="1800" b="1">
              <a:solidFill>
                <a:schemeClr val="accent1"/>
              </a:solidFill>
            </a:rPr>
            <a:t>Pto</a:t>
          </a:r>
          <a:r>
            <a:rPr lang="es-AR" sz="1800" b="1" baseline="0">
              <a:solidFill>
                <a:schemeClr val="accent1"/>
              </a:solidFill>
            </a:rPr>
            <a:t> Eq Año 1 = 40%</a:t>
          </a:r>
          <a:endParaRPr lang="es-AR" sz="1800" b="1">
            <a:solidFill>
              <a:schemeClr val="accent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633130</xdr:colOff>
      <xdr:row>54</xdr:row>
      <xdr:rowOff>2721</xdr:rowOff>
    </xdr:from>
    <xdr:to>
      <xdr:col>27</xdr:col>
      <xdr:colOff>476250</xdr:colOff>
      <xdr:row>92</xdr:row>
      <xdr:rowOff>31750</xdr:rowOff>
    </xdr:to>
    <xdr:graphicFrame macro="">
      <xdr:nvGraphicFramePr>
        <xdr:cNvPr id="2" name="5 Gráfico">
          <a:extLst>
            <a:ext uri="{FF2B5EF4-FFF2-40B4-BE49-F238E27FC236}">
              <a16:creationId xmlns="" xmlns:a16="http://schemas.microsoft.com/office/drawing/2014/main" id="{00000000-0008-0000-0F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78441</xdr:colOff>
      <xdr:row>76</xdr:row>
      <xdr:rowOff>0</xdr:rowOff>
    </xdr:from>
    <xdr:to>
      <xdr:col>21</xdr:col>
      <xdr:colOff>112059</xdr:colOff>
      <xdr:row>89</xdr:row>
      <xdr:rowOff>123265</xdr:rowOff>
    </xdr:to>
    <xdr:cxnSp macro="">
      <xdr:nvCxnSpPr>
        <xdr:cNvPr id="3" name="7 Conector recto">
          <a:extLst>
            <a:ext uri="{FF2B5EF4-FFF2-40B4-BE49-F238E27FC236}">
              <a16:creationId xmlns="" xmlns:a16="http://schemas.microsoft.com/office/drawing/2014/main" id="{00000000-0008-0000-0F00-000019000000}"/>
            </a:ext>
          </a:extLst>
        </xdr:cNvPr>
        <xdr:cNvCxnSpPr/>
      </xdr:nvCxnSpPr>
      <xdr:spPr bwMode="auto">
        <a:xfrm>
          <a:off x="27241500" y="15240000"/>
          <a:ext cx="33618" cy="2599765"/>
        </a:xfrm>
        <a:prstGeom prst="line">
          <a:avLst/>
        </a:prstGeom>
        <a:solidFill>
          <a:srgbClr val="090000"/>
        </a:solidFill>
        <a:ln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168088</xdr:colOff>
      <xdr:row>76</xdr:row>
      <xdr:rowOff>39058</xdr:rowOff>
    </xdr:from>
    <xdr:to>
      <xdr:col>20</xdr:col>
      <xdr:colOff>177494</xdr:colOff>
      <xdr:row>76</xdr:row>
      <xdr:rowOff>67235</xdr:rowOff>
    </xdr:to>
    <xdr:cxnSp macro="">
      <xdr:nvCxnSpPr>
        <xdr:cNvPr id="4" name="8 Conector recto">
          <a:extLst>
            <a:ext uri="{FF2B5EF4-FFF2-40B4-BE49-F238E27FC236}">
              <a16:creationId xmlns="" xmlns:a16="http://schemas.microsoft.com/office/drawing/2014/main" id="{00000000-0008-0000-0F00-00001A000000}"/>
            </a:ext>
          </a:extLst>
        </xdr:cNvPr>
        <xdr:cNvCxnSpPr>
          <a:endCxn id="16" idx="7"/>
        </xdr:cNvCxnSpPr>
      </xdr:nvCxnSpPr>
      <xdr:spPr bwMode="auto">
        <a:xfrm flipV="1">
          <a:off x="21997147" y="15279058"/>
          <a:ext cx="4581406" cy="28177"/>
        </a:xfrm>
        <a:prstGeom prst="line">
          <a:avLst/>
        </a:prstGeom>
        <a:solidFill>
          <a:srgbClr val="090000"/>
        </a:solidFill>
        <a:ln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44946</xdr:colOff>
      <xdr:row>75</xdr:row>
      <xdr:rowOff>156418</xdr:rowOff>
    </xdr:from>
    <xdr:to>
      <xdr:col>21</xdr:col>
      <xdr:colOff>147553</xdr:colOff>
      <xdr:row>76</xdr:row>
      <xdr:rowOff>55022</xdr:rowOff>
    </xdr:to>
    <xdr:sp macro="" textlink="">
      <xdr:nvSpPr>
        <xdr:cNvPr id="5" name="12 Elipse">
          <a:extLst>
            <a:ext uri="{FF2B5EF4-FFF2-40B4-BE49-F238E27FC236}">
              <a16:creationId xmlns="" xmlns:a16="http://schemas.microsoft.com/office/drawing/2014/main" id="{00000000-0008-0000-0F00-00001B000000}"/>
            </a:ext>
          </a:extLst>
        </xdr:cNvPr>
        <xdr:cNvSpPr/>
      </xdr:nvSpPr>
      <xdr:spPr bwMode="auto">
        <a:xfrm>
          <a:off x="27208005" y="15205918"/>
          <a:ext cx="102607" cy="8910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AR" sz="1100"/>
        </a:p>
      </xdr:txBody>
    </xdr:sp>
    <xdr:clientData/>
  </xdr:twoCellAnchor>
  <xdr:twoCellAnchor>
    <xdr:from>
      <xdr:col>19</xdr:col>
      <xdr:colOff>143535</xdr:colOff>
      <xdr:row>57</xdr:row>
      <xdr:rowOff>184897</xdr:rowOff>
    </xdr:from>
    <xdr:to>
      <xdr:col>22</xdr:col>
      <xdr:colOff>118596</xdr:colOff>
      <xdr:row>59</xdr:row>
      <xdr:rowOff>125932</xdr:rowOff>
    </xdr:to>
    <xdr:sp macro="" textlink="">
      <xdr:nvSpPr>
        <xdr:cNvPr id="6" name="15 CuadroTexto">
          <a:extLst>
            <a:ext uri="{FF2B5EF4-FFF2-40B4-BE49-F238E27FC236}">
              <a16:creationId xmlns="" xmlns:a16="http://schemas.microsoft.com/office/drawing/2014/main" id="{00000000-0008-0000-0F00-00001C000000}"/>
            </a:ext>
          </a:extLst>
        </xdr:cNvPr>
        <xdr:cNvSpPr txBox="1"/>
      </xdr:nvSpPr>
      <xdr:spPr>
        <a:xfrm>
          <a:off x="25782594" y="11805397"/>
          <a:ext cx="2261061" cy="3220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600" b="1">
              <a:solidFill>
                <a:schemeClr val="accent6">
                  <a:lumMod val="50000"/>
                </a:schemeClr>
              </a:solidFill>
            </a:rPr>
            <a:t>VENTAS Año</a:t>
          </a:r>
          <a:r>
            <a:rPr lang="es-AR" sz="1600" b="1" baseline="0">
              <a:solidFill>
                <a:schemeClr val="accent6">
                  <a:lumMod val="50000"/>
                </a:schemeClr>
              </a:solidFill>
            </a:rPr>
            <a:t> 5</a:t>
          </a:r>
          <a:endParaRPr lang="es-AR" sz="16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24</xdr:col>
      <xdr:colOff>387327</xdr:colOff>
      <xdr:row>60</xdr:row>
      <xdr:rowOff>154000</xdr:rowOff>
    </xdr:from>
    <xdr:to>
      <xdr:col>27</xdr:col>
      <xdr:colOff>197502</xdr:colOff>
      <xdr:row>62</xdr:row>
      <xdr:rowOff>58750</xdr:rowOff>
    </xdr:to>
    <xdr:sp macro="" textlink="">
      <xdr:nvSpPr>
        <xdr:cNvPr id="7" name="16 CuadroTexto">
          <a:extLst>
            <a:ext uri="{FF2B5EF4-FFF2-40B4-BE49-F238E27FC236}">
              <a16:creationId xmlns="" xmlns:a16="http://schemas.microsoft.com/office/drawing/2014/main" id="{00000000-0008-0000-0F00-00001D000000}"/>
            </a:ext>
          </a:extLst>
        </xdr:cNvPr>
        <xdr:cNvSpPr txBox="1"/>
      </xdr:nvSpPr>
      <xdr:spPr>
        <a:xfrm>
          <a:off x="29836386" y="12346000"/>
          <a:ext cx="20961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600" b="1" i="0">
              <a:solidFill>
                <a:schemeClr val="accent6">
                  <a:lumMod val="50000"/>
                </a:schemeClr>
              </a:solidFill>
            </a:rPr>
            <a:t>INGRESOS Año 5</a:t>
          </a:r>
          <a:endParaRPr lang="es-AR" sz="1400" b="1" i="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16</xdr:col>
      <xdr:colOff>285182</xdr:colOff>
      <xdr:row>67</xdr:row>
      <xdr:rowOff>47299</xdr:rowOff>
    </xdr:from>
    <xdr:to>
      <xdr:col>18</xdr:col>
      <xdr:colOff>761999</xdr:colOff>
      <xdr:row>68</xdr:row>
      <xdr:rowOff>134471</xdr:rowOff>
    </xdr:to>
    <xdr:sp macro="" textlink="">
      <xdr:nvSpPr>
        <xdr:cNvPr id="8" name="17 CuadroTexto">
          <a:extLst>
            <a:ext uri="{FF2B5EF4-FFF2-40B4-BE49-F238E27FC236}">
              <a16:creationId xmlns="" xmlns:a16="http://schemas.microsoft.com/office/drawing/2014/main" id="{00000000-0008-0000-0F00-00001E000000}"/>
            </a:ext>
          </a:extLst>
        </xdr:cNvPr>
        <xdr:cNvSpPr txBox="1"/>
      </xdr:nvSpPr>
      <xdr:spPr>
        <a:xfrm>
          <a:off x="23638241" y="13572799"/>
          <a:ext cx="2000817" cy="2776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TOTAL Año 5</a:t>
          </a:r>
          <a:endParaRPr lang="es-AR" sz="1600" b="1">
            <a:solidFill>
              <a:schemeClr val="accent2"/>
            </a:solidFill>
          </a:endParaRPr>
        </a:p>
      </xdr:txBody>
    </xdr:sp>
    <xdr:clientData/>
  </xdr:twoCellAnchor>
  <xdr:twoCellAnchor>
    <xdr:from>
      <xdr:col>23</xdr:col>
      <xdr:colOff>666664</xdr:colOff>
      <xdr:row>78</xdr:row>
      <xdr:rowOff>150956</xdr:rowOff>
    </xdr:from>
    <xdr:to>
      <xdr:col>26</xdr:col>
      <xdr:colOff>422648</xdr:colOff>
      <xdr:row>80</xdr:row>
      <xdr:rowOff>47092</xdr:rowOff>
    </xdr:to>
    <xdr:sp macro="" textlink="">
      <xdr:nvSpPr>
        <xdr:cNvPr id="9" name="18 CuadroTexto">
          <a:extLst>
            <a:ext uri="{FF2B5EF4-FFF2-40B4-BE49-F238E27FC236}">
              <a16:creationId xmlns="" xmlns:a16="http://schemas.microsoft.com/office/drawing/2014/main" id="{00000000-0008-0000-0F00-00001F000000}"/>
            </a:ext>
          </a:extLst>
        </xdr:cNvPr>
        <xdr:cNvSpPr txBox="1"/>
      </xdr:nvSpPr>
      <xdr:spPr>
        <a:xfrm>
          <a:off x="29353723" y="15771956"/>
          <a:ext cx="2041984" cy="2771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FIJO Año 5</a:t>
          </a:r>
          <a:endParaRPr lang="es-AR" sz="1600" b="1">
            <a:solidFill>
              <a:schemeClr val="accent2"/>
            </a:solidFill>
          </a:endParaRPr>
        </a:p>
      </xdr:txBody>
    </xdr:sp>
    <xdr:clientData/>
  </xdr:twoCellAnchor>
  <xdr:twoCellAnchor>
    <xdr:from>
      <xdr:col>21</xdr:col>
      <xdr:colOff>48238</xdr:colOff>
      <xdr:row>72</xdr:row>
      <xdr:rowOff>21890</xdr:rowOff>
    </xdr:from>
    <xdr:to>
      <xdr:col>23</xdr:col>
      <xdr:colOff>491751</xdr:colOff>
      <xdr:row>73</xdr:row>
      <xdr:rowOff>189800</xdr:rowOff>
    </xdr:to>
    <xdr:sp macro="" textlink="">
      <xdr:nvSpPr>
        <xdr:cNvPr id="10" name="19 CuadroTexto">
          <a:extLst>
            <a:ext uri="{FF2B5EF4-FFF2-40B4-BE49-F238E27FC236}">
              <a16:creationId xmlns="" xmlns:a16="http://schemas.microsoft.com/office/drawing/2014/main" id="{00000000-0008-0000-0F00-000020000000}"/>
            </a:ext>
          </a:extLst>
        </xdr:cNvPr>
        <xdr:cNvSpPr txBox="1"/>
      </xdr:nvSpPr>
      <xdr:spPr>
        <a:xfrm>
          <a:off x="27211297" y="14499890"/>
          <a:ext cx="1967513" cy="3584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600" b="1">
              <a:solidFill>
                <a:schemeClr val="accent2"/>
              </a:solidFill>
            </a:rPr>
            <a:t>COSTO</a:t>
          </a:r>
          <a:r>
            <a:rPr lang="es-AR" sz="1600" b="1" baseline="0">
              <a:solidFill>
                <a:schemeClr val="accent2"/>
              </a:solidFill>
            </a:rPr>
            <a:t> TOTAL Año 5</a:t>
          </a:r>
          <a:endParaRPr lang="es-AR" sz="1600" b="1">
            <a:solidFill>
              <a:schemeClr val="accent2"/>
            </a:solidFill>
          </a:endParaRPr>
        </a:p>
      </xdr:txBody>
    </xdr:sp>
    <xdr:clientData/>
  </xdr:twoCellAnchor>
  <xdr:twoCellAnchor>
    <xdr:from>
      <xdr:col>27</xdr:col>
      <xdr:colOff>315797</xdr:colOff>
      <xdr:row>54</xdr:row>
      <xdr:rowOff>174625</xdr:rowOff>
    </xdr:from>
    <xdr:to>
      <xdr:col>27</xdr:col>
      <xdr:colOff>315797</xdr:colOff>
      <xdr:row>89</xdr:row>
      <xdr:rowOff>92982</xdr:rowOff>
    </xdr:to>
    <xdr:cxnSp macro="">
      <xdr:nvCxnSpPr>
        <xdr:cNvPr id="11" name="21 Conector recto">
          <a:extLst>
            <a:ext uri="{FF2B5EF4-FFF2-40B4-BE49-F238E27FC236}">
              <a16:creationId xmlns="" xmlns:a16="http://schemas.microsoft.com/office/drawing/2014/main" id="{00000000-0008-0000-0F00-000021000000}"/>
            </a:ext>
          </a:extLst>
        </xdr:cNvPr>
        <xdr:cNvCxnSpPr/>
      </xdr:nvCxnSpPr>
      <xdr:spPr bwMode="auto">
        <a:xfrm>
          <a:off x="34986797" y="11309350"/>
          <a:ext cx="0" cy="6585857"/>
        </a:xfrm>
        <a:prstGeom prst="line">
          <a:avLst/>
        </a:prstGeom>
        <a:solidFill>
          <a:srgbClr val="090000"/>
        </a:solidFill>
        <a:ln w="28575" cap="flat" cmpd="sng" algn="ctr">
          <a:solidFill>
            <a:sysClr val="windowText" lastClr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394989</xdr:colOff>
      <xdr:row>73</xdr:row>
      <xdr:rowOff>184897</xdr:rowOff>
    </xdr:from>
    <xdr:to>
      <xdr:col>20</xdr:col>
      <xdr:colOff>168835</xdr:colOff>
      <xdr:row>75</xdr:row>
      <xdr:rowOff>57896</xdr:rowOff>
    </xdr:to>
    <xdr:sp macro="" textlink="">
      <xdr:nvSpPr>
        <xdr:cNvPr id="12" name="23 CuadroTexto">
          <a:extLst>
            <a:ext uri="{FF2B5EF4-FFF2-40B4-BE49-F238E27FC236}">
              <a16:creationId xmlns="" xmlns:a16="http://schemas.microsoft.com/office/drawing/2014/main" id="{00000000-0008-0000-0F00-000022000000}"/>
            </a:ext>
          </a:extLst>
        </xdr:cNvPr>
        <xdr:cNvSpPr txBox="1"/>
      </xdr:nvSpPr>
      <xdr:spPr>
        <a:xfrm>
          <a:off x="24510048" y="14853397"/>
          <a:ext cx="2059846" cy="253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800" b="1">
              <a:solidFill>
                <a:schemeClr val="accent1"/>
              </a:solidFill>
            </a:rPr>
            <a:t>Pto</a:t>
          </a:r>
          <a:r>
            <a:rPr lang="es-AR" sz="1800" b="1" baseline="0">
              <a:solidFill>
                <a:schemeClr val="accent1"/>
              </a:solidFill>
            </a:rPr>
            <a:t> Eq Año 5 = 45%</a:t>
          </a:r>
          <a:endParaRPr lang="es-AR" sz="1800" b="1">
            <a:solidFill>
              <a:schemeClr val="accent1"/>
            </a:solidFill>
          </a:endParaRPr>
        </a:p>
      </xdr:txBody>
    </xdr:sp>
    <xdr:clientData/>
  </xdr:twoCellAnchor>
  <xdr:twoCellAnchor>
    <xdr:from>
      <xdr:col>22</xdr:col>
      <xdr:colOff>247850</xdr:colOff>
      <xdr:row>81</xdr:row>
      <xdr:rowOff>80074</xdr:rowOff>
    </xdr:from>
    <xdr:to>
      <xdr:col>25</xdr:col>
      <xdr:colOff>3834</xdr:colOff>
      <xdr:row>82</xdr:row>
      <xdr:rowOff>166710</xdr:rowOff>
    </xdr:to>
    <xdr:sp macro="" textlink="">
      <xdr:nvSpPr>
        <xdr:cNvPr id="13" name="18 CuadroTexto">
          <a:extLst>
            <a:ext uri="{FF2B5EF4-FFF2-40B4-BE49-F238E27FC236}">
              <a16:creationId xmlns="" xmlns:a16="http://schemas.microsoft.com/office/drawing/2014/main" id="{CFCDC1C3-69DC-49EC-8693-5102C77C7C83}"/>
            </a:ext>
          </a:extLst>
        </xdr:cNvPr>
        <xdr:cNvSpPr txBox="1"/>
      </xdr:nvSpPr>
      <xdr:spPr>
        <a:xfrm>
          <a:off x="28172909" y="16272574"/>
          <a:ext cx="2041984" cy="2771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FIJO Año 1</a:t>
          </a:r>
          <a:endParaRPr lang="es-A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371668</xdr:colOff>
      <xdr:row>73</xdr:row>
      <xdr:rowOff>53827</xdr:rowOff>
    </xdr:from>
    <xdr:to>
      <xdr:col>27</xdr:col>
      <xdr:colOff>53181</xdr:colOff>
      <xdr:row>74</xdr:row>
      <xdr:rowOff>105056</xdr:rowOff>
    </xdr:to>
    <xdr:sp macro="" textlink="">
      <xdr:nvSpPr>
        <xdr:cNvPr id="14" name="19 CuadroTexto">
          <a:extLst>
            <a:ext uri="{FF2B5EF4-FFF2-40B4-BE49-F238E27FC236}">
              <a16:creationId xmlns="" xmlns:a16="http://schemas.microsoft.com/office/drawing/2014/main" id="{1858D127-F816-41BF-BAC1-BFDB78F0BB65}"/>
            </a:ext>
          </a:extLst>
        </xdr:cNvPr>
        <xdr:cNvSpPr txBox="1"/>
      </xdr:nvSpPr>
      <xdr:spPr>
        <a:xfrm>
          <a:off x="29820727" y="14722327"/>
          <a:ext cx="1967513" cy="2417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TOTAL Año 1</a:t>
          </a:r>
          <a:endParaRPr lang="es-A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554966</xdr:colOff>
      <xdr:row>72</xdr:row>
      <xdr:rowOff>109491</xdr:rowOff>
    </xdr:from>
    <xdr:to>
      <xdr:col>17</xdr:col>
      <xdr:colOff>336176</xdr:colOff>
      <xdr:row>73</xdr:row>
      <xdr:rowOff>100853</xdr:rowOff>
    </xdr:to>
    <xdr:sp macro="" textlink="">
      <xdr:nvSpPr>
        <xdr:cNvPr id="15" name="17 CuadroTexto">
          <a:extLst>
            <a:ext uri="{FF2B5EF4-FFF2-40B4-BE49-F238E27FC236}">
              <a16:creationId xmlns="" xmlns:a16="http://schemas.microsoft.com/office/drawing/2014/main" id="{6A66A549-0E9E-4ABF-9154-7A1361F28D56}"/>
            </a:ext>
          </a:extLst>
        </xdr:cNvPr>
        <xdr:cNvSpPr txBox="1"/>
      </xdr:nvSpPr>
      <xdr:spPr>
        <a:xfrm>
          <a:off x="22384025" y="14587491"/>
          <a:ext cx="2067210" cy="1818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600" b="1">
              <a:solidFill>
                <a:sysClr val="windowText" lastClr="000000"/>
              </a:solidFill>
            </a:rPr>
            <a:t>COSTO</a:t>
          </a:r>
          <a:r>
            <a:rPr lang="es-AR" sz="1600" b="1" baseline="0">
              <a:solidFill>
                <a:sysClr val="windowText" lastClr="000000"/>
              </a:solidFill>
            </a:rPr>
            <a:t> TOTAL Año 1</a:t>
          </a:r>
          <a:endParaRPr lang="es-AR" sz="1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89913</xdr:colOff>
      <xdr:row>76</xdr:row>
      <xdr:rowOff>26009</xdr:rowOff>
    </xdr:from>
    <xdr:to>
      <xdr:col>20</xdr:col>
      <xdr:colOff>192520</xdr:colOff>
      <xdr:row>76</xdr:row>
      <xdr:rowOff>115113</xdr:rowOff>
    </xdr:to>
    <xdr:sp macro="" textlink="">
      <xdr:nvSpPr>
        <xdr:cNvPr id="16" name="12 Elipse">
          <a:extLst>
            <a:ext uri="{FF2B5EF4-FFF2-40B4-BE49-F238E27FC236}">
              <a16:creationId xmlns="" xmlns:a16="http://schemas.microsoft.com/office/drawing/2014/main" id="{10222F52-B4C9-4B88-98C6-B9F7239D7F5D}"/>
            </a:ext>
          </a:extLst>
        </xdr:cNvPr>
        <xdr:cNvSpPr/>
      </xdr:nvSpPr>
      <xdr:spPr bwMode="auto">
        <a:xfrm>
          <a:off x="26490972" y="15266009"/>
          <a:ext cx="102607" cy="89104"/>
        </a:xfrm>
        <a:prstGeom prst="ellipse">
          <a:avLst/>
        </a:prstGeom>
        <a:solidFill>
          <a:schemeClr val="accent1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AR" sz="1100"/>
        </a:p>
      </xdr:txBody>
    </xdr:sp>
    <xdr:clientData/>
  </xdr:twoCellAnchor>
  <xdr:twoCellAnchor>
    <xdr:from>
      <xdr:col>20</xdr:col>
      <xdr:colOff>159435</xdr:colOff>
      <xdr:row>76</xdr:row>
      <xdr:rowOff>70037</xdr:rowOff>
    </xdr:from>
    <xdr:to>
      <xdr:col>20</xdr:col>
      <xdr:colOff>168088</xdr:colOff>
      <xdr:row>89</xdr:row>
      <xdr:rowOff>168088</xdr:rowOff>
    </xdr:to>
    <xdr:cxnSp macro="">
      <xdr:nvCxnSpPr>
        <xdr:cNvPr id="17" name="7 Conector recto">
          <a:extLst>
            <a:ext uri="{FF2B5EF4-FFF2-40B4-BE49-F238E27FC236}">
              <a16:creationId xmlns="" xmlns:a16="http://schemas.microsoft.com/office/drawing/2014/main" id="{81FE569A-9A06-490A-8220-57DE2BADEDD4}"/>
            </a:ext>
          </a:extLst>
        </xdr:cNvPr>
        <xdr:cNvCxnSpPr/>
      </xdr:nvCxnSpPr>
      <xdr:spPr bwMode="auto">
        <a:xfrm>
          <a:off x="26560494" y="15310037"/>
          <a:ext cx="8653" cy="2574551"/>
        </a:xfrm>
        <a:prstGeom prst="line">
          <a:avLst/>
        </a:prstGeom>
        <a:solidFill>
          <a:srgbClr val="090000"/>
        </a:solidFill>
        <a:ln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179294</xdr:colOff>
      <xdr:row>76</xdr:row>
      <xdr:rowOff>6842</xdr:rowOff>
    </xdr:from>
    <xdr:to>
      <xdr:col>21</xdr:col>
      <xdr:colOff>138557</xdr:colOff>
      <xdr:row>76</xdr:row>
      <xdr:rowOff>44824</xdr:rowOff>
    </xdr:to>
    <xdr:cxnSp macro="">
      <xdr:nvCxnSpPr>
        <xdr:cNvPr id="18" name="8 Conector recto">
          <a:extLst>
            <a:ext uri="{FF2B5EF4-FFF2-40B4-BE49-F238E27FC236}">
              <a16:creationId xmlns="" xmlns:a16="http://schemas.microsoft.com/office/drawing/2014/main" id="{16E1EB45-6210-4D22-A29D-C789614711E8}"/>
            </a:ext>
          </a:extLst>
        </xdr:cNvPr>
        <xdr:cNvCxnSpPr/>
      </xdr:nvCxnSpPr>
      <xdr:spPr bwMode="auto">
        <a:xfrm flipV="1">
          <a:off x="22008353" y="15246842"/>
          <a:ext cx="5293263" cy="37982"/>
        </a:xfrm>
        <a:prstGeom prst="line">
          <a:avLst/>
        </a:prstGeom>
        <a:solidFill>
          <a:srgbClr val="090000"/>
        </a:solidFill>
        <a:ln w="2857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220598</xdr:colOff>
      <xdr:row>76</xdr:row>
      <xdr:rowOff>85445</xdr:rowOff>
    </xdr:from>
    <xdr:to>
      <xdr:col>23</xdr:col>
      <xdr:colOff>756444</xdr:colOff>
      <xdr:row>77</xdr:row>
      <xdr:rowOff>148944</xdr:rowOff>
    </xdr:to>
    <xdr:sp macro="" textlink="">
      <xdr:nvSpPr>
        <xdr:cNvPr id="19" name="23 CuadroTexto">
          <a:extLst>
            <a:ext uri="{FF2B5EF4-FFF2-40B4-BE49-F238E27FC236}">
              <a16:creationId xmlns="" xmlns:a16="http://schemas.microsoft.com/office/drawing/2014/main" id="{9FAC4EA4-3454-496B-9B26-DCE72C18E245}"/>
            </a:ext>
          </a:extLst>
        </xdr:cNvPr>
        <xdr:cNvSpPr txBox="1"/>
      </xdr:nvSpPr>
      <xdr:spPr>
        <a:xfrm>
          <a:off x="27383657" y="15325445"/>
          <a:ext cx="2059846" cy="253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AR" sz="1800" b="1">
              <a:solidFill>
                <a:schemeClr val="accent1"/>
              </a:solidFill>
            </a:rPr>
            <a:t>Pto</a:t>
          </a:r>
          <a:r>
            <a:rPr lang="es-AR" sz="1800" b="1" baseline="0">
              <a:solidFill>
                <a:schemeClr val="accent1"/>
              </a:solidFill>
            </a:rPr>
            <a:t> Eq Año 1 = 53%</a:t>
          </a:r>
          <a:endParaRPr lang="es-AR" sz="18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18</xdr:col>
      <xdr:colOff>736047</xdr:colOff>
      <xdr:row>62</xdr:row>
      <xdr:rowOff>130968</xdr:rowOff>
    </xdr:from>
    <xdr:to>
      <xdr:col>21</xdr:col>
      <xdr:colOff>711108</xdr:colOff>
      <xdr:row>63</xdr:row>
      <xdr:rowOff>103749</xdr:rowOff>
    </xdr:to>
    <xdr:sp macro="" textlink="">
      <xdr:nvSpPr>
        <xdr:cNvPr id="20" name="15 CuadroTexto">
          <a:extLst>
            <a:ext uri="{FF2B5EF4-FFF2-40B4-BE49-F238E27FC236}">
              <a16:creationId xmlns="" xmlns:a16="http://schemas.microsoft.com/office/drawing/2014/main" id="{EE690814-E9B6-484D-B6E7-103D063AC0F7}"/>
            </a:ext>
          </a:extLst>
        </xdr:cNvPr>
        <xdr:cNvSpPr txBox="1"/>
      </xdr:nvSpPr>
      <xdr:spPr>
        <a:xfrm>
          <a:off x="25613106" y="12703968"/>
          <a:ext cx="2261061" cy="1632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600" b="1">
              <a:solidFill>
                <a:schemeClr val="accent4">
                  <a:lumMod val="75000"/>
                </a:schemeClr>
              </a:solidFill>
            </a:rPr>
            <a:t>VENTAS Año</a:t>
          </a:r>
          <a:r>
            <a:rPr lang="es-AR" sz="1600" b="1" baseline="0">
              <a:solidFill>
                <a:schemeClr val="accent4">
                  <a:lumMod val="75000"/>
                </a:schemeClr>
              </a:solidFill>
            </a:rPr>
            <a:t> 1</a:t>
          </a:r>
          <a:endParaRPr lang="es-AR" sz="1600" b="1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xdr:twoCellAnchor>
    <xdr:from>
      <xdr:col>24</xdr:col>
      <xdr:colOff>630777</xdr:colOff>
      <xdr:row>67</xdr:row>
      <xdr:rowOff>8405</xdr:rowOff>
    </xdr:from>
    <xdr:to>
      <xdr:col>27</xdr:col>
      <xdr:colOff>2800</xdr:colOff>
      <xdr:row>68</xdr:row>
      <xdr:rowOff>20647</xdr:rowOff>
    </xdr:to>
    <xdr:sp macro="" textlink="">
      <xdr:nvSpPr>
        <xdr:cNvPr id="21" name="16 CuadroTexto">
          <a:extLst>
            <a:ext uri="{FF2B5EF4-FFF2-40B4-BE49-F238E27FC236}">
              <a16:creationId xmlns="" xmlns:a16="http://schemas.microsoft.com/office/drawing/2014/main" id="{ABA68CD3-6B76-4173-9417-389A5B9DE710}"/>
            </a:ext>
          </a:extLst>
        </xdr:cNvPr>
        <xdr:cNvSpPr txBox="1"/>
      </xdr:nvSpPr>
      <xdr:spPr>
        <a:xfrm>
          <a:off x="30079836" y="13533905"/>
          <a:ext cx="1658023" cy="2027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600" b="1" i="0">
              <a:solidFill>
                <a:schemeClr val="accent4">
                  <a:lumMod val="75000"/>
                </a:schemeClr>
              </a:solidFill>
            </a:rPr>
            <a:t>INGRESOS Año 1</a:t>
          </a:r>
          <a:endParaRPr lang="es-AR" sz="1400" b="1" i="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235324</xdr:colOff>
      <xdr:row>35</xdr:row>
      <xdr:rowOff>169207</xdr:rowOff>
    </xdr:from>
    <xdr:to>
      <xdr:col>7</xdr:col>
      <xdr:colOff>874059</xdr:colOff>
      <xdr:row>63</xdr:row>
      <xdr:rowOff>78441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621196</xdr:colOff>
      <xdr:row>38</xdr:row>
      <xdr:rowOff>182217</xdr:rowOff>
    </xdr:from>
    <xdr:to>
      <xdr:col>7</xdr:col>
      <xdr:colOff>683559</xdr:colOff>
      <xdr:row>40</xdr:row>
      <xdr:rowOff>44823</xdr:rowOff>
    </xdr:to>
    <xdr:sp macro="" textlink="">
      <xdr:nvSpPr>
        <xdr:cNvPr id="7" name="CuadroTexto 6"/>
        <xdr:cNvSpPr txBox="1"/>
      </xdr:nvSpPr>
      <xdr:spPr>
        <a:xfrm>
          <a:off x="8667020" y="8037541"/>
          <a:ext cx="1093304" cy="2436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15.339.962,74</a:t>
          </a:r>
        </a:p>
      </xdr:txBody>
    </xdr:sp>
    <xdr:clientData/>
  </xdr:twoCellAnchor>
  <xdr:twoCellAnchor>
    <xdr:from>
      <xdr:col>7</xdr:col>
      <xdr:colOff>291353</xdr:colOff>
      <xdr:row>53</xdr:row>
      <xdr:rowOff>11205</xdr:rowOff>
    </xdr:from>
    <xdr:to>
      <xdr:col>7</xdr:col>
      <xdr:colOff>795617</xdr:colOff>
      <xdr:row>54</xdr:row>
      <xdr:rowOff>100853</xdr:rowOff>
    </xdr:to>
    <xdr:sp macro="" textlink="">
      <xdr:nvSpPr>
        <xdr:cNvPr id="9" name="CuadroTexto 6"/>
        <xdr:cNvSpPr txBox="1"/>
      </xdr:nvSpPr>
      <xdr:spPr>
        <a:xfrm>
          <a:off x="9368118" y="10488705"/>
          <a:ext cx="504264" cy="246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Años</a:t>
          </a:r>
        </a:p>
      </xdr:txBody>
    </xdr:sp>
    <xdr:clientData/>
  </xdr:twoCellAnchor>
  <xdr:twoCellAnchor>
    <xdr:from>
      <xdr:col>7</xdr:col>
      <xdr:colOff>1229839</xdr:colOff>
      <xdr:row>34</xdr:row>
      <xdr:rowOff>54550</xdr:rowOff>
    </xdr:from>
    <xdr:to>
      <xdr:col>17</xdr:col>
      <xdr:colOff>299357</xdr:colOff>
      <xdr:row>73</xdr:row>
      <xdr:rowOff>81641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0.71342</cdr:x>
      <cdr:y>0.38027</cdr:y>
    </cdr:from>
    <cdr:to>
      <cdr:x>0.82595</cdr:x>
      <cdr:y>0.43241</cdr:y>
    </cdr:to>
    <cdr:sp macro="" textlink="">
      <cdr:nvSpPr>
        <cdr:cNvPr id="3" name="CuadroTexto 6"/>
        <cdr:cNvSpPr txBox="1"/>
      </cdr:nvSpPr>
      <cdr:spPr>
        <a:xfrm xmlns:a="http://schemas.openxmlformats.org/drawingml/2006/main">
          <a:off x="6931211" y="1776506"/>
          <a:ext cx="1093304" cy="2436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$5.794.764,86</a:t>
          </a:r>
        </a:p>
      </cdr:txBody>
    </cdr:sp>
  </cdr:relSizeAnchor>
  <cdr:relSizeAnchor xmlns:cdr="http://schemas.openxmlformats.org/drawingml/2006/chartDrawing">
    <cdr:from>
      <cdr:x>0.55656</cdr:x>
      <cdr:y>0.37547</cdr:y>
    </cdr:from>
    <cdr:to>
      <cdr:x>0.66909</cdr:x>
      <cdr:y>0.42761</cdr:y>
    </cdr:to>
    <cdr:sp macro="" textlink="">
      <cdr:nvSpPr>
        <cdr:cNvPr id="4" name="CuadroTexto 6"/>
        <cdr:cNvSpPr txBox="1"/>
      </cdr:nvSpPr>
      <cdr:spPr>
        <a:xfrm xmlns:a="http://schemas.openxmlformats.org/drawingml/2006/main">
          <a:off x="5407212" y="1754094"/>
          <a:ext cx="1093304" cy="2436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$</a:t>
          </a:r>
          <a:r>
            <a:rPr lang="es-ES" sz="1100" baseline="0"/>
            <a:t> </a:t>
          </a:r>
          <a:r>
            <a:rPr lang="es-ES" sz="1100"/>
            <a:t>5.707.756,56</a:t>
          </a:r>
        </a:p>
      </cdr:txBody>
    </cdr:sp>
  </cdr:relSizeAnchor>
  <cdr:relSizeAnchor xmlns:cdr="http://schemas.openxmlformats.org/drawingml/2006/chartDrawing">
    <cdr:from>
      <cdr:x>0.41123</cdr:x>
      <cdr:y>0.38986</cdr:y>
    </cdr:from>
    <cdr:to>
      <cdr:x>0.52376</cdr:x>
      <cdr:y>0.44201</cdr:y>
    </cdr:to>
    <cdr:sp macro="" textlink="">
      <cdr:nvSpPr>
        <cdr:cNvPr id="5" name="CuadroTexto 6"/>
        <cdr:cNvSpPr txBox="1"/>
      </cdr:nvSpPr>
      <cdr:spPr>
        <a:xfrm xmlns:a="http://schemas.openxmlformats.org/drawingml/2006/main">
          <a:off x="3995271" y="1821329"/>
          <a:ext cx="1093304" cy="2436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$ 5.795.556,91</a:t>
          </a:r>
        </a:p>
      </cdr:txBody>
    </cdr:sp>
  </cdr:relSizeAnchor>
  <cdr:relSizeAnchor xmlns:cdr="http://schemas.openxmlformats.org/drawingml/2006/chartDrawing">
    <cdr:from>
      <cdr:x>0.2682</cdr:x>
      <cdr:y>0.505</cdr:y>
    </cdr:from>
    <cdr:to>
      <cdr:x>0.38074</cdr:x>
      <cdr:y>0.55714</cdr:y>
    </cdr:to>
    <cdr:sp macro="" textlink="">
      <cdr:nvSpPr>
        <cdr:cNvPr id="6" name="CuadroTexto 6"/>
        <cdr:cNvSpPr txBox="1"/>
      </cdr:nvSpPr>
      <cdr:spPr>
        <a:xfrm xmlns:a="http://schemas.openxmlformats.org/drawingml/2006/main">
          <a:off x="2605741" y="2359211"/>
          <a:ext cx="1093304" cy="2436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$ 4.925.013,16</a:t>
          </a:r>
        </a:p>
      </cdr:txBody>
    </cdr:sp>
  </cdr:relSizeAnchor>
  <cdr:relSizeAnchor xmlns:cdr="http://schemas.openxmlformats.org/drawingml/2006/chartDrawing">
    <cdr:from>
      <cdr:x>0.12749</cdr:x>
      <cdr:y>0.92476</cdr:y>
    </cdr:from>
    <cdr:to>
      <cdr:x>0.24002</cdr:x>
      <cdr:y>0.97691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1238623" y="4320240"/>
          <a:ext cx="1093304" cy="24360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- $8.954.892,62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oduccion.gob.ar/tramites/rbtparques-61495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S781"/>
  <sheetViews>
    <sheetView topLeftCell="A13" zoomScaleNormal="100" workbookViewId="0">
      <selection activeCell="B27" sqref="B27"/>
    </sheetView>
  </sheetViews>
  <sheetFormatPr baseColWidth="10" defaultColWidth="11" defaultRowHeight="12.75" x14ac:dyDescent="0.2"/>
  <cols>
    <col min="1" max="1" width="42.28515625" customWidth="1"/>
    <col min="2" max="2" width="16.28515625" customWidth="1"/>
    <col min="3" max="3" width="11" customWidth="1"/>
    <col min="4" max="4" width="17.42578125" customWidth="1"/>
    <col min="6" max="6" width="21.42578125" customWidth="1"/>
  </cols>
  <sheetData>
    <row r="1" spans="1:7" x14ac:dyDescent="0.2">
      <c r="A1" s="1131" t="s">
        <v>0</v>
      </c>
      <c r="B1" s="1131"/>
      <c r="C1" s="1131"/>
      <c r="D1" s="1132"/>
      <c r="E1" s="212">
        <v>8</v>
      </c>
    </row>
    <row r="3" spans="1:7" x14ac:dyDescent="0.2">
      <c r="A3" s="3" t="s">
        <v>1</v>
      </c>
      <c r="B3" s="204">
        <v>0.21</v>
      </c>
    </row>
    <row r="4" spans="1:7" x14ac:dyDescent="0.2">
      <c r="A4" s="3" t="s">
        <v>2</v>
      </c>
      <c r="B4" s="204">
        <v>0.35</v>
      </c>
    </row>
    <row r="5" spans="1:7" x14ac:dyDescent="0.2">
      <c r="A5" s="3" t="s">
        <v>3</v>
      </c>
      <c r="B5" s="204">
        <v>0.05</v>
      </c>
      <c r="C5" t="s">
        <v>4</v>
      </c>
      <c r="G5" s="4"/>
    </row>
    <row r="7" spans="1:7" x14ac:dyDescent="0.2">
      <c r="A7" s="3" t="s">
        <v>5</v>
      </c>
      <c r="B7" t="s">
        <v>6</v>
      </c>
    </row>
    <row r="8" spans="1:7" x14ac:dyDescent="0.2">
      <c r="A8" s="5" t="s">
        <v>7</v>
      </c>
      <c r="B8" s="205">
        <v>30</v>
      </c>
      <c r="C8" t="s">
        <v>8</v>
      </c>
    </row>
    <row r="9" spans="1:7" x14ac:dyDescent="0.2">
      <c r="A9" s="5" t="s">
        <v>9</v>
      </c>
      <c r="B9" s="205">
        <v>10</v>
      </c>
      <c r="C9" t="s">
        <v>8</v>
      </c>
    </row>
    <row r="10" spans="1:7" x14ac:dyDescent="0.2">
      <c r="A10" s="5" t="s">
        <v>10</v>
      </c>
      <c r="B10" s="205">
        <v>10</v>
      </c>
      <c r="C10" t="s">
        <v>8</v>
      </c>
    </row>
    <row r="11" spans="1:7" x14ac:dyDescent="0.2">
      <c r="A11" s="5" t="s">
        <v>11</v>
      </c>
      <c r="B11" s="205">
        <v>5</v>
      </c>
      <c r="C11" t="s">
        <v>8</v>
      </c>
    </row>
    <row r="12" spans="1:7" x14ac:dyDescent="0.2">
      <c r="A12" s="5" t="s">
        <v>12</v>
      </c>
      <c r="B12" s="205">
        <v>5</v>
      </c>
      <c r="C12" t="s">
        <v>8</v>
      </c>
    </row>
    <row r="13" spans="1:7" x14ac:dyDescent="0.2">
      <c r="A13" s="5" t="s">
        <v>13</v>
      </c>
      <c r="B13" s="205">
        <v>3</v>
      </c>
      <c r="C13" t="s">
        <v>8</v>
      </c>
    </row>
    <row r="14" spans="1:7" x14ac:dyDescent="0.2">
      <c r="A14" s="5" t="s">
        <v>14</v>
      </c>
      <c r="B14" s="205">
        <v>5</v>
      </c>
      <c r="C14" t="s">
        <v>8</v>
      </c>
    </row>
    <row r="15" spans="1:7" x14ac:dyDescent="0.2">
      <c r="A15" s="5" t="s">
        <v>15</v>
      </c>
      <c r="B15" s="206">
        <v>0.11</v>
      </c>
    </row>
    <row r="17" spans="1:7" x14ac:dyDescent="0.2">
      <c r="A17" s="3" t="s">
        <v>16</v>
      </c>
      <c r="B17" s="1135" t="s">
        <v>369</v>
      </c>
      <c r="C17" s="1135"/>
      <c r="D17" s="55"/>
      <c r="E17" s="55"/>
      <c r="F17" s="55"/>
      <c r="G17" s="55"/>
    </row>
    <row r="19" spans="1:7" x14ac:dyDescent="0.2">
      <c r="A19" s="3" t="s">
        <v>17</v>
      </c>
      <c r="B19" s="207">
        <v>600000</v>
      </c>
      <c r="C19" t="s">
        <v>18</v>
      </c>
    </row>
    <row r="20" spans="1:7" x14ac:dyDescent="0.2">
      <c r="A20" s="3" t="s">
        <v>19</v>
      </c>
      <c r="B20" s="208">
        <v>50</v>
      </c>
      <c r="C20" t="s">
        <v>20</v>
      </c>
    </row>
    <row r="21" spans="1:7" x14ac:dyDescent="0.2">
      <c r="B21" s="188"/>
    </row>
    <row r="22" spans="1:7" x14ac:dyDescent="0.2">
      <c r="A22" s="3" t="s">
        <v>21</v>
      </c>
      <c r="B22" s="188"/>
    </row>
    <row r="23" spans="1:7" x14ac:dyDescent="0.2">
      <c r="A23" s="3" t="s">
        <v>22</v>
      </c>
      <c r="B23" s="208">
        <v>9</v>
      </c>
      <c r="C23" t="s">
        <v>23</v>
      </c>
    </row>
    <row r="24" spans="1:7" x14ac:dyDescent="0.2">
      <c r="A24" s="3" t="s">
        <v>24</v>
      </c>
      <c r="B24" s="208">
        <v>2</v>
      </c>
      <c r="C24" t="s">
        <v>23</v>
      </c>
    </row>
    <row r="25" spans="1:7" x14ac:dyDescent="0.2">
      <c r="A25" s="3" t="s">
        <v>25</v>
      </c>
      <c r="B25" s="208">
        <v>4</v>
      </c>
      <c r="C25" t="s">
        <v>23</v>
      </c>
    </row>
    <row r="26" spans="1:7" x14ac:dyDescent="0.2">
      <c r="B26" s="188"/>
      <c r="C26">
        <f>B25*0.15</f>
        <v>0.6</v>
      </c>
    </row>
    <row r="27" spans="1:7" x14ac:dyDescent="0.2">
      <c r="A27" s="3" t="s">
        <v>26</v>
      </c>
      <c r="B27" s="208">
        <v>390</v>
      </c>
      <c r="C27" t="s">
        <v>27</v>
      </c>
    </row>
    <row r="28" spans="1:7" x14ac:dyDescent="0.2">
      <c r="A28" s="3" t="s">
        <v>28</v>
      </c>
      <c r="B28" s="208">
        <v>5</v>
      </c>
      <c r="C28" t="s">
        <v>29</v>
      </c>
    </row>
    <row r="29" spans="1:7" x14ac:dyDescent="0.2">
      <c r="A29" s="3" t="s">
        <v>30</v>
      </c>
      <c r="B29" s="208">
        <v>3</v>
      </c>
      <c r="C29" t="s">
        <v>29</v>
      </c>
    </row>
    <row r="30" spans="1:7" x14ac:dyDescent="0.2">
      <c r="B30" s="188"/>
    </row>
    <row r="31" spans="1:7" x14ac:dyDescent="0.2">
      <c r="B31" s="188"/>
    </row>
    <row r="32" spans="1:7" x14ac:dyDescent="0.2">
      <c r="A32" s="3" t="s">
        <v>31</v>
      </c>
      <c r="B32" s="208">
        <v>1</v>
      </c>
      <c r="C32" t="s">
        <v>32</v>
      </c>
      <c r="D32" s="208">
        <v>17.25</v>
      </c>
      <c r="E32" t="s">
        <v>33</v>
      </c>
      <c r="F32" t="s">
        <v>370</v>
      </c>
    </row>
    <row r="33" spans="1:8" x14ac:dyDescent="0.2">
      <c r="A33" s="6"/>
    </row>
    <row r="34" spans="1:8" x14ac:dyDescent="0.2">
      <c r="A34" s="6"/>
    </row>
    <row r="35" spans="1:8" x14ac:dyDescent="0.2">
      <c r="A35" s="3" t="s">
        <v>34</v>
      </c>
      <c r="B35" s="729">
        <v>0.16</v>
      </c>
      <c r="C35" t="s">
        <v>35</v>
      </c>
      <c r="F35" s="639" t="s">
        <v>371</v>
      </c>
      <c r="G35" s="4" t="s">
        <v>36</v>
      </c>
    </row>
    <row r="36" spans="1:8" x14ac:dyDescent="0.2">
      <c r="A36" s="3" t="s">
        <v>37</v>
      </c>
      <c r="B36" s="1133" t="s">
        <v>321</v>
      </c>
      <c r="C36" s="1133"/>
      <c r="D36" s="1133"/>
      <c r="F36" t="s">
        <v>372</v>
      </c>
    </row>
    <row r="37" spans="1:8" x14ac:dyDescent="0.2">
      <c r="A37" s="3" t="s">
        <v>38</v>
      </c>
      <c r="B37" s="920">
        <v>0.4</v>
      </c>
    </row>
    <row r="38" spans="1:8" x14ac:dyDescent="0.2">
      <c r="A38" s="3"/>
    </row>
    <row r="39" spans="1:8" x14ac:dyDescent="0.2">
      <c r="A39" s="3" t="s">
        <v>39</v>
      </c>
      <c r="B39" s="208">
        <v>45</v>
      </c>
      <c r="C39" t="s">
        <v>433</v>
      </c>
    </row>
    <row r="40" spans="1:8" x14ac:dyDescent="0.2">
      <c r="A40" s="3" t="s">
        <v>40</v>
      </c>
      <c r="B40" s="209">
        <v>0.5</v>
      </c>
    </row>
    <row r="41" spans="1:8" x14ac:dyDescent="0.2">
      <c r="A41" s="3" t="s">
        <v>41</v>
      </c>
      <c r="B41" s="209">
        <v>0.4</v>
      </c>
      <c r="C41" t="s">
        <v>35</v>
      </c>
    </row>
    <row r="45" spans="1:8" x14ac:dyDescent="0.2">
      <c r="A45" s="56" t="s">
        <v>525</v>
      </c>
      <c r="B45" s="210">
        <f>B20*B19</f>
        <v>30000000</v>
      </c>
      <c r="E45" s="1134" t="s">
        <v>526</v>
      </c>
      <c r="F45" s="1134"/>
      <c r="G45" s="211" t="s">
        <v>375</v>
      </c>
      <c r="H45" s="211" t="s">
        <v>374</v>
      </c>
    </row>
    <row r="46" spans="1:8" x14ac:dyDescent="0.2">
      <c r="A46" s="56" t="s">
        <v>527</v>
      </c>
      <c r="B46" s="210">
        <f>12968750*2</f>
        <v>25937500</v>
      </c>
      <c r="E46" s="1134" t="s">
        <v>403</v>
      </c>
      <c r="F46" s="1134"/>
      <c r="G46" s="124">
        <v>600000</v>
      </c>
      <c r="H46" s="119">
        <v>50</v>
      </c>
    </row>
    <row r="47" spans="1:8" x14ac:dyDescent="0.2">
      <c r="E47" s="1134" t="s">
        <v>48</v>
      </c>
      <c r="F47" s="1134"/>
      <c r="G47" s="124">
        <v>518750</v>
      </c>
      <c r="H47" s="119">
        <v>50</v>
      </c>
    </row>
    <row r="781" spans="19:19" x14ac:dyDescent="0.2">
      <c r="S781" s="4" t="s">
        <v>42</v>
      </c>
    </row>
  </sheetData>
  <sheetProtection selectLockedCells="1" selectUnlockedCells="1"/>
  <mergeCells count="6">
    <mergeCell ref="A1:D1"/>
    <mergeCell ref="B36:D36"/>
    <mergeCell ref="E45:F45"/>
    <mergeCell ref="E46:F46"/>
    <mergeCell ref="E47:F47"/>
    <mergeCell ref="B17:C17"/>
  </mergeCells>
  <hyperlinks>
    <hyperlink ref="F35" r:id="rId1"/>
  </hyperlink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G30"/>
  <sheetViews>
    <sheetView zoomScaleNormal="100" workbookViewId="0">
      <selection activeCell="H10" sqref="H10"/>
    </sheetView>
  </sheetViews>
  <sheetFormatPr baseColWidth="10" defaultColWidth="11.42578125" defaultRowHeight="12.75" x14ac:dyDescent="0.2"/>
  <cols>
    <col min="1" max="1" width="28.140625" style="7" customWidth="1"/>
    <col min="2" max="2" width="17" style="7" customWidth="1"/>
    <col min="3" max="3" width="19.7109375" style="7" customWidth="1"/>
    <col min="4" max="4" width="19.140625" style="7" customWidth="1"/>
    <col min="5" max="5" width="19.42578125" style="7" customWidth="1"/>
    <col min="6" max="6" width="19.7109375" style="7" customWidth="1"/>
    <col min="7" max="7" width="21.85546875" style="7" customWidth="1"/>
    <col min="8" max="8" width="17.42578125" style="7" customWidth="1"/>
    <col min="9" max="16384" width="11.42578125" style="7"/>
  </cols>
  <sheetData>
    <row r="1" spans="1:7" x14ac:dyDescent="0.2">
      <c r="A1" s="1" t="s">
        <v>0</v>
      </c>
      <c r="B1"/>
      <c r="C1"/>
      <c r="D1"/>
      <c r="G1" s="108">
        <f>InfoInicial!E1</f>
        <v>8</v>
      </c>
    </row>
    <row r="2" spans="1:7" ht="15.75" x14ac:dyDescent="0.25">
      <c r="A2" s="597" t="s">
        <v>210</v>
      </c>
      <c r="B2" s="486"/>
      <c r="C2" s="486"/>
      <c r="D2" s="486"/>
      <c r="E2" s="486"/>
      <c r="F2" s="486"/>
      <c r="G2" s="486"/>
    </row>
    <row r="3" spans="1:7" ht="15.75" x14ac:dyDescent="0.25">
      <c r="A3" s="597"/>
      <c r="B3" s="486" t="s">
        <v>211</v>
      </c>
      <c r="C3" s="486"/>
      <c r="D3" s="486"/>
      <c r="E3" s="486"/>
      <c r="F3" s="486"/>
      <c r="G3" s="486"/>
    </row>
    <row r="4" spans="1:7" x14ac:dyDescent="0.2">
      <c r="A4" s="490" t="s">
        <v>88</v>
      </c>
      <c r="B4" s="586" t="s">
        <v>47</v>
      </c>
      <c r="C4" s="490" t="s">
        <v>48</v>
      </c>
      <c r="D4" s="490" t="s">
        <v>89</v>
      </c>
      <c r="E4" s="490" t="s">
        <v>90</v>
      </c>
      <c r="F4" s="490" t="s">
        <v>91</v>
      </c>
      <c r="G4" s="490" t="s">
        <v>92</v>
      </c>
    </row>
    <row r="5" spans="1:7" ht="15" x14ac:dyDescent="0.2">
      <c r="A5" s="491" t="s">
        <v>212</v>
      </c>
      <c r="B5" s="592"/>
      <c r="C5" s="592"/>
      <c r="D5" s="592"/>
      <c r="E5" s="592"/>
      <c r="F5" s="592"/>
      <c r="G5" s="592"/>
    </row>
    <row r="6" spans="1:7" ht="15" x14ac:dyDescent="0.2">
      <c r="A6" s="401" t="s">
        <v>213</v>
      </c>
      <c r="B6" s="594"/>
      <c r="C6" s="594">
        <f>'E-Costos'!B7*InfoInicial!$B$3</f>
        <v>1333390.8672</v>
      </c>
      <c r="D6" s="594">
        <f>'E-Costos'!C7*InfoInicial!$B$3</f>
        <v>1494181.9872000001</v>
      </c>
      <c r="E6" s="594">
        <f>'E-Costos'!D7*InfoInicial!$B$3</f>
        <v>1494181.9872000001</v>
      </c>
      <c r="F6" s="594">
        <f>'E-Costos'!E7*InfoInicial!$B$3</f>
        <v>1494181.9872000001</v>
      </c>
      <c r="G6" s="594">
        <f>'E-Costos'!F7*InfoInicial!$B$3</f>
        <v>1494181.9872000001</v>
      </c>
    </row>
    <row r="7" spans="1:7" ht="15" x14ac:dyDescent="0.2">
      <c r="A7" s="401" t="s">
        <v>97</v>
      </c>
      <c r="B7" s="594"/>
      <c r="C7" s="594">
        <f>'E-Costos'!B12*InfoInicial!$B$3</f>
        <v>54789.469500378378</v>
      </c>
      <c r="D7" s="594">
        <f>'E-Costos'!C12*InfoInicial!$B$3</f>
        <v>60877.188333753751</v>
      </c>
      <c r="E7" s="594">
        <f>'E-Costos'!D12*InfoInicial!$B$3</f>
        <v>60877.188333753751</v>
      </c>
      <c r="F7" s="594">
        <f>'E-Costos'!E12*InfoInicial!$B$3</f>
        <v>60887.532165153745</v>
      </c>
      <c r="G7" s="594">
        <f>'E-Costos'!F12*InfoInicial!$B$3</f>
        <v>60887.532165153745</v>
      </c>
    </row>
    <row r="8" spans="1:7" ht="15" x14ac:dyDescent="0.2">
      <c r="A8" s="401" t="s">
        <v>98</v>
      </c>
      <c r="B8" s="594"/>
      <c r="C8" s="594">
        <f>'E-Costos'!B13*InfoInicial!$B$3</f>
        <v>11149.315694495997</v>
      </c>
      <c r="D8" s="594">
        <f>'E-Costos'!C13*InfoInicial!$B$3</f>
        <v>11736.121783679999</v>
      </c>
      <c r="E8" s="594">
        <f>'E-Costos'!D13*InfoInicial!$B$3</f>
        <v>11736.121783679999</v>
      </c>
      <c r="F8" s="594">
        <f>'E-Costos'!E13*InfoInicial!$B$3</f>
        <v>11736.121783679999</v>
      </c>
      <c r="G8" s="594">
        <f>'E-Costos'!F13*InfoInicial!$B$3</f>
        <v>11736.121783679999</v>
      </c>
    </row>
    <row r="9" spans="1:7" ht="15" x14ac:dyDescent="0.2">
      <c r="A9" s="401" t="s">
        <v>99</v>
      </c>
      <c r="B9" s="594"/>
      <c r="C9" s="594">
        <f>'E-Costos'!B14*InfoInicial!$B$3</f>
        <v>54138.881579999987</v>
      </c>
      <c r="D9" s="594">
        <f>'E-Costos'!C14*InfoInicial!$B$3</f>
        <v>56988.296399999992</v>
      </c>
      <c r="E9" s="594">
        <f>'E-Costos'!D14*InfoInicial!$B$3</f>
        <v>56988.296399999992</v>
      </c>
      <c r="F9" s="594">
        <f>'E-Costos'!E14*InfoInicial!$B$3</f>
        <v>56988.296399999992</v>
      </c>
      <c r="G9" s="594">
        <f>'E-Costos'!F14*InfoInicial!$B$3</f>
        <v>56988.296399999992</v>
      </c>
    </row>
    <row r="10" spans="1:7" ht="15" x14ac:dyDescent="0.2">
      <c r="A10" s="401" t="s">
        <v>214</v>
      </c>
      <c r="B10" s="594"/>
      <c r="C10" s="594">
        <v>0</v>
      </c>
      <c r="D10" s="594">
        <v>0</v>
      </c>
      <c r="E10" s="594">
        <v>0</v>
      </c>
      <c r="F10" s="594">
        <v>0</v>
      </c>
      <c r="G10" s="594">
        <v>0</v>
      </c>
    </row>
    <row r="11" spans="1:7" ht="15" x14ac:dyDescent="0.2">
      <c r="A11" s="401" t="s">
        <v>124</v>
      </c>
      <c r="B11" s="594"/>
      <c r="C11" s="594">
        <v>0</v>
      </c>
      <c r="D11" s="594">
        <v>0</v>
      </c>
      <c r="E11" s="594">
        <v>0</v>
      </c>
      <c r="F11" s="594">
        <v>0</v>
      </c>
      <c r="G11" s="594">
        <v>0</v>
      </c>
    </row>
    <row r="12" spans="1:7" ht="15" x14ac:dyDescent="0.2">
      <c r="A12" s="491" t="s">
        <v>83</v>
      </c>
      <c r="B12" s="594"/>
      <c r="C12" s="594">
        <f>SUM(C6:C11)</f>
        <v>1453468.5339748745</v>
      </c>
      <c r="D12" s="594">
        <f>SUM(D6:D11)</f>
        <v>1623783.593717434</v>
      </c>
      <c r="E12" s="594">
        <f>SUM(E6:E11)</f>
        <v>1623783.593717434</v>
      </c>
      <c r="F12" s="594">
        <f>SUM(F6:F11)</f>
        <v>1623793.9375488339</v>
      </c>
      <c r="G12" s="594">
        <f>SUM(G6:G11)</f>
        <v>1623793.9375488339</v>
      </c>
    </row>
    <row r="13" spans="1:7" ht="15" x14ac:dyDescent="0.2">
      <c r="A13" s="401" t="s">
        <v>215</v>
      </c>
      <c r="B13" s="594"/>
      <c r="C13" s="594">
        <f>('E-Costos'!G35-'E-Costos'!G26)*InfoInicial!$B$3</f>
        <v>11946.676218426199</v>
      </c>
      <c r="D13" s="594"/>
      <c r="E13" s="594"/>
      <c r="F13" s="594"/>
      <c r="G13" s="594"/>
    </row>
    <row r="14" spans="1:7" ht="15" x14ac:dyDescent="0.2">
      <c r="A14" s="401" t="s">
        <v>216</v>
      </c>
      <c r="B14" s="592"/>
      <c r="C14" s="592"/>
      <c r="D14" s="592"/>
      <c r="E14" s="592"/>
      <c r="F14" s="592"/>
      <c r="G14" s="592"/>
    </row>
    <row r="15" spans="1:7" ht="15" x14ac:dyDescent="0.2">
      <c r="A15" s="401" t="s">
        <v>217</v>
      </c>
      <c r="B15" s="594"/>
      <c r="C15" s="594">
        <f>'E-InvAT'!C32</f>
        <v>7145.20497258247</v>
      </c>
      <c r="D15" s="594">
        <f>'E-InvAT'!D32</f>
        <v>-2.4123507669037281</v>
      </c>
      <c r="E15" s="594">
        <f>'E-InvAT'!E32</f>
        <v>0</v>
      </c>
      <c r="F15" s="594">
        <f>'E-InvAT'!F32</f>
        <v>0</v>
      </c>
      <c r="G15" s="594">
        <f>'E-InvAT'!G32</f>
        <v>0</v>
      </c>
    </row>
    <row r="16" spans="1:7" ht="15" x14ac:dyDescent="0.2">
      <c r="A16" s="401" t="s">
        <v>218</v>
      </c>
      <c r="B16" s="594"/>
      <c r="C16" s="594">
        <f>'E-InvAT'!C33</f>
        <v>17343.589249101766</v>
      </c>
      <c r="D16" s="594">
        <f>'E-InvAT'!D33</f>
        <v>-503.58090435574195</v>
      </c>
      <c r="E16" s="594">
        <f>'E-InvAT'!E33</f>
        <v>0</v>
      </c>
      <c r="F16" s="594">
        <f>'E-InvAT'!F33</f>
        <v>0</v>
      </c>
      <c r="G16" s="594">
        <f>'E-InvAT'!G33</f>
        <v>0</v>
      </c>
    </row>
    <row r="17" spans="1:7" ht="15" x14ac:dyDescent="0.2">
      <c r="A17" s="491" t="s">
        <v>219</v>
      </c>
      <c r="B17" s="594"/>
      <c r="C17" s="594">
        <f>C12-C13-C15-C16</f>
        <v>1417033.0635347643</v>
      </c>
      <c r="D17" s="594">
        <f>D12-D13-D15-D16</f>
        <v>1624289.5869725565</v>
      </c>
      <c r="E17" s="594">
        <f>E12-E13-E15-E16</f>
        <v>1623783.593717434</v>
      </c>
      <c r="F17" s="594">
        <f>F12-F13-F15-F16</f>
        <v>1623793.9375488339</v>
      </c>
      <c r="G17" s="594">
        <f>G12-G13-G15-G16</f>
        <v>1623793.9375488339</v>
      </c>
    </row>
    <row r="18" spans="1:7" ht="15" x14ac:dyDescent="0.2">
      <c r="A18" s="491" t="s">
        <v>220</v>
      </c>
      <c r="B18" s="594"/>
      <c r="C18" s="594">
        <f>('E-Costos'!B54+'E-Costos'!B55+'E-Costos'!B56+'E-Costos'!B57)*InfoInicial!$B$3</f>
        <v>67560.85022511764</v>
      </c>
      <c r="D18" s="594">
        <f>('E-Costos'!C54+'E-Costos'!C55+'E-Costos'!C56+'E-Costos'!C57)*InfoInicial!$B$3</f>
        <v>72150.71677457515</v>
      </c>
      <c r="E18" s="594">
        <f>('E-Costos'!D54+'E-Costos'!D55+'E-Costos'!D56+'E-Costos'!D57)*InfoInicial!$B$3</f>
        <v>72150.71677457515</v>
      </c>
      <c r="F18" s="594">
        <f>('E-Costos'!E54+'E-Costos'!E55+'E-Costos'!E56+'E-Costos'!E57)*InfoInicial!$B$3</f>
        <v>72150.71677457515</v>
      </c>
      <c r="G18" s="594">
        <f>('E-Costos'!F54+'E-Costos'!F55+'E-Costos'!F56+'E-Costos'!F57)*InfoInicial!$B$3</f>
        <v>72150.71677457515</v>
      </c>
    </row>
    <row r="19" spans="1:7" ht="15" x14ac:dyDescent="0.2">
      <c r="A19" s="491" t="s">
        <v>221</v>
      </c>
      <c r="B19" s="594"/>
      <c r="C19" s="594">
        <f>('E-Costos'!B71+'E-Costos'!B72+'E-Costos'!B73+'E-Costos'!B74)*InfoInicial!$B$3</f>
        <v>42932.6237703878</v>
      </c>
      <c r="D19" s="594">
        <f>('E-Costos'!C71+'E-Costos'!C72+'E-Costos'!C73+'E-Costos'!C74)*InfoInicial!$B$3</f>
        <v>43321.282914355157</v>
      </c>
      <c r="E19" s="594">
        <f>('E-Costos'!D71+'E-Costos'!D72+'E-Costos'!D73+'E-Costos'!D74)*InfoInicial!$B$3</f>
        <v>43321.282914355157</v>
      </c>
      <c r="F19" s="594">
        <f>('E-Costos'!E71+'E-Costos'!E72+'E-Costos'!E73+'E-Costos'!E74)*InfoInicial!$B$3</f>
        <v>43321.282914355157</v>
      </c>
      <c r="G19" s="594">
        <f>('E-Costos'!F71+'E-Costos'!F72+'E-Costos'!F73+'E-Costos'!F74)*InfoInicial!$B$3</f>
        <v>43321.282914355157</v>
      </c>
    </row>
    <row r="20" spans="1:7" ht="15" x14ac:dyDescent="0.2">
      <c r="A20" s="489"/>
      <c r="B20" s="592"/>
      <c r="C20" s="592"/>
      <c r="D20" s="592"/>
      <c r="E20" s="592"/>
      <c r="F20" s="592"/>
      <c r="G20" s="592"/>
    </row>
    <row r="21" spans="1:7" ht="15" x14ac:dyDescent="0.2">
      <c r="A21" s="401" t="s">
        <v>222</v>
      </c>
      <c r="B21" s="594"/>
      <c r="C21" s="594">
        <f>SUM(C17:C19)</f>
        <v>1527526.5375302699</v>
      </c>
      <c r="D21" s="594">
        <f>SUM(D17:D19)</f>
        <v>1739761.5866614869</v>
      </c>
      <c r="E21" s="594">
        <f>SUM(E17:E19)</f>
        <v>1739255.5934063643</v>
      </c>
      <c r="F21" s="594">
        <f>SUM(F17:F19)</f>
        <v>1739265.9372377642</v>
      </c>
      <c r="G21" s="594">
        <f>SUM(G17:G19)</f>
        <v>1739265.9372377642</v>
      </c>
    </row>
    <row r="22" spans="1:7" ht="15" x14ac:dyDescent="0.2">
      <c r="A22" s="401" t="s">
        <v>223</v>
      </c>
      <c r="B22" s="594"/>
      <c r="C22" s="594">
        <f>'E-Costos'!B88*InfoInicial!$B$3</f>
        <v>5446875</v>
      </c>
      <c r="D22" s="594">
        <f>'E-Costos'!C88*InfoInicial!$B$3</f>
        <v>6300000</v>
      </c>
      <c r="E22" s="594">
        <f>'E-Costos'!D88*InfoInicial!$B$3</f>
        <v>6300000</v>
      </c>
      <c r="F22" s="594">
        <f>'E-Costos'!E88*InfoInicial!$B$3</f>
        <v>6300000</v>
      </c>
      <c r="G22" s="594">
        <f>'E-Costos'!F88*InfoInicial!$B$3</f>
        <v>6300000</v>
      </c>
    </row>
    <row r="23" spans="1:7" ht="15" x14ac:dyDescent="0.2">
      <c r="A23" s="491" t="s">
        <v>224</v>
      </c>
      <c r="B23" s="594"/>
      <c r="C23" s="594">
        <f>C22-C21</f>
        <v>3919348.4624697301</v>
      </c>
      <c r="D23" s="594">
        <f>D22-D21</f>
        <v>4560238.4133385131</v>
      </c>
      <c r="E23" s="594">
        <f>E22-E21</f>
        <v>4560744.4065936357</v>
      </c>
      <c r="F23" s="594">
        <f>F22-F21</f>
        <v>4560734.0627622362</v>
      </c>
      <c r="G23" s="594">
        <f>G22-G21</f>
        <v>4560734.0627622362</v>
      </c>
    </row>
    <row r="24" spans="1:7" ht="15" x14ac:dyDescent="0.2">
      <c r="A24" s="488"/>
      <c r="B24" s="592"/>
      <c r="C24" s="592"/>
      <c r="D24" s="592"/>
      <c r="E24" s="592"/>
      <c r="F24" s="592"/>
      <c r="G24" s="592"/>
    </row>
    <row r="25" spans="1:7" ht="15" x14ac:dyDescent="0.2">
      <c r="A25" s="598" t="s">
        <v>225</v>
      </c>
      <c r="B25" s="594"/>
      <c r="C25" s="594">
        <f>B27</f>
        <v>1966106.9867587208</v>
      </c>
      <c r="D25" s="594">
        <f>C27</f>
        <v>0</v>
      </c>
      <c r="E25" s="594">
        <f>D27</f>
        <v>0</v>
      </c>
      <c r="F25" s="594">
        <f>E27</f>
        <v>0</v>
      </c>
      <c r="G25" s="594">
        <f>F27</f>
        <v>0</v>
      </c>
    </row>
    <row r="26" spans="1:7" ht="15" x14ac:dyDescent="0.2">
      <c r="A26" s="598" t="s">
        <v>226</v>
      </c>
      <c r="B26" s="594">
        <f>'E-Inv AF y Am'!B34+'E-InvAT'!B34</f>
        <v>1966106.9867587208</v>
      </c>
      <c r="C26" s="594">
        <f>'E-Inv AF y Am'!C34+'E-InvAT'!C34</f>
        <v>817661.04748417693</v>
      </c>
      <c r="D26" s="1111">
        <f>'E-InvAT'!D34</f>
        <v>2773.7970740892242</v>
      </c>
      <c r="E26" s="594">
        <f>'E-InvAT'!E34</f>
        <v>0</v>
      </c>
      <c r="F26" s="594">
        <f>'E-InvAT'!F34</f>
        <v>5.1719156999961706</v>
      </c>
      <c r="G26" s="594">
        <f>'E-InvAT'!G34</f>
        <v>0</v>
      </c>
    </row>
    <row r="27" spans="1:7" ht="15" x14ac:dyDescent="0.2">
      <c r="A27" s="491" t="s">
        <v>227</v>
      </c>
      <c r="B27" s="594">
        <f>B26</f>
        <v>1966106.9867587208</v>
      </c>
      <c r="C27" s="594">
        <v>0</v>
      </c>
      <c r="D27" s="594">
        <v>0</v>
      </c>
      <c r="E27" s="594">
        <v>0</v>
      </c>
      <c r="F27" s="594">
        <v>0</v>
      </c>
      <c r="G27" s="594">
        <v>0</v>
      </c>
    </row>
    <row r="28" spans="1:7" ht="15" x14ac:dyDescent="0.2">
      <c r="A28" s="491" t="s">
        <v>750</v>
      </c>
      <c r="B28" s="594">
        <v>0</v>
      </c>
      <c r="C28" s="594">
        <f>C25+C26</f>
        <v>2783768.0342428978</v>
      </c>
      <c r="D28" s="594">
        <f>D25+D26</f>
        <v>2773.7970740892242</v>
      </c>
      <c r="E28" s="594">
        <f>E26</f>
        <v>0</v>
      </c>
      <c r="F28" s="594">
        <f>F26</f>
        <v>5.1719156999961706</v>
      </c>
      <c r="G28" s="594">
        <f>G26</f>
        <v>0</v>
      </c>
    </row>
    <row r="29" spans="1:7" ht="15" x14ac:dyDescent="0.2">
      <c r="A29" s="488"/>
      <c r="B29" s="592"/>
      <c r="C29" s="592"/>
      <c r="D29" s="592"/>
      <c r="E29" s="592"/>
      <c r="F29" s="592"/>
      <c r="G29" s="592"/>
    </row>
    <row r="30" spans="1:7" ht="15.75" x14ac:dyDescent="0.25">
      <c r="A30" s="491" t="s">
        <v>228</v>
      </c>
      <c r="B30" s="591">
        <v>0</v>
      </c>
      <c r="C30" s="591">
        <f>C23-C28</f>
        <v>1135580.4282268323</v>
      </c>
      <c r="D30" s="591">
        <f>D23-D28</f>
        <v>4557464.6162644243</v>
      </c>
      <c r="E30" s="591">
        <f>E23-E28</f>
        <v>4560744.4065936357</v>
      </c>
      <c r="F30" s="591">
        <f>F23-F28</f>
        <v>4560728.8908465365</v>
      </c>
      <c r="G30" s="591">
        <f>G23-G28</f>
        <v>4560734.0627622362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Q26"/>
  <sheetViews>
    <sheetView zoomScale="55" zoomScaleNormal="55" workbookViewId="0">
      <selection activeCell="A12" sqref="A12"/>
    </sheetView>
  </sheetViews>
  <sheetFormatPr baseColWidth="10" defaultColWidth="11.42578125" defaultRowHeight="12.75" x14ac:dyDescent="0.2"/>
  <cols>
    <col min="1" max="1" width="8" style="7" customWidth="1"/>
    <col min="2" max="2" width="20.85546875" style="7" customWidth="1"/>
    <col min="3" max="3" width="21.7109375" style="7" customWidth="1"/>
    <col min="4" max="4" width="25.42578125" style="7" customWidth="1"/>
    <col min="5" max="5" width="20.7109375" style="7" customWidth="1"/>
    <col min="6" max="6" width="22.7109375" style="7" customWidth="1"/>
    <col min="7" max="7" width="21.42578125" style="7" customWidth="1"/>
    <col min="8" max="8" width="21" style="7" customWidth="1"/>
    <col min="9" max="9" width="20.42578125" style="7" customWidth="1"/>
    <col min="10" max="10" width="20.7109375" style="7" customWidth="1"/>
    <col min="11" max="11" width="21.140625" style="7" customWidth="1"/>
    <col min="12" max="12" width="20.42578125" style="7" customWidth="1"/>
    <col min="13" max="13" width="24.7109375" style="7" customWidth="1"/>
    <col min="14" max="14" width="13.7109375" style="7" customWidth="1"/>
    <col min="15" max="15" width="17" style="7" customWidth="1"/>
    <col min="16" max="16" width="20" style="7" customWidth="1"/>
    <col min="17" max="16384" width="11.42578125" style="7"/>
  </cols>
  <sheetData>
    <row r="1" spans="1:17" ht="15.75" x14ac:dyDescent="0.25">
      <c r="A1" s="167" t="s">
        <v>0</v>
      </c>
      <c r="B1" s="168"/>
      <c r="C1" s="168"/>
      <c r="D1" s="168"/>
      <c r="E1" s="168"/>
      <c r="F1" s="168"/>
      <c r="G1" s="168"/>
      <c r="H1" s="609">
        <f>InfoInicial!E1</f>
        <v>8</v>
      </c>
      <c r="I1" s="168"/>
      <c r="J1" s="168"/>
      <c r="K1" s="168"/>
      <c r="L1" s="168"/>
      <c r="M1" s="168"/>
      <c r="N1" s="168"/>
      <c r="O1" s="168"/>
      <c r="P1" s="168"/>
      <c r="Q1" s="168"/>
    </row>
    <row r="2" spans="1:17" ht="15.75" x14ac:dyDescent="0.25">
      <c r="A2" s="167"/>
      <c r="B2" s="168"/>
      <c r="C2" s="168"/>
      <c r="D2" s="168"/>
      <c r="E2" s="168"/>
      <c r="F2" s="168"/>
      <c r="G2" s="168"/>
      <c r="H2" s="169"/>
      <c r="I2" s="168"/>
      <c r="J2" s="168"/>
      <c r="K2" s="168"/>
      <c r="L2" s="168"/>
      <c r="M2" s="168"/>
      <c r="N2" s="168"/>
      <c r="O2" s="168"/>
      <c r="P2" s="168"/>
      <c r="Q2" s="168"/>
    </row>
    <row r="3" spans="1:17" ht="21" thickBot="1" x14ac:dyDescent="0.35">
      <c r="A3" s="170" t="s">
        <v>229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72"/>
      <c r="P3" s="172"/>
      <c r="Q3" s="172"/>
    </row>
    <row r="4" spans="1:17" ht="48" thickBot="1" x14ac:dyDescent="0.3">
      <c r="A4" s="599" t="s">
        <v>230</v>
      </c>
      <c r="B4" s="603" t="s">
        <v>231</v>
      </c>
      <c r="C4" s="603" t="s">
        <v>232</v>
      </c>
      <c r="D4" s="603" t="s">
        <v>233</v>
      </c>
      <c r="E4" s="603" t="s">
        <v>3</v>
      </c>
      <c r="F4" s="604" t="s">
        <v>234</v>
      </c>
      <c r="G4" s="605" t="s">
        <v>235</v>
      </c>
      <c r="H4" s="606" t="s">
        <v>236</v>
      </c>
      <c r="I4" s="603" t="s">
        <v>107</v>
      </c>
      <c r="J4" s="604" t="s">
        <v>237</v>
      </c>
      <c r="K4" s="605" t="s">
        <v>238</v>
      </c>
      <c r="L4" s="607" t="s">
        <v>239</v>
      </c>
      <c r="M4" s="608" t="s">
        <v>240</v>
      </c>
      <c r="N4" s="168"/>
      <c r="O4" s="196"/>
      <c r="P4" s="197"/>
      <c r="Q4" s="173"/>
    </row>
    <row r="5" spans="1:17" ht="15.75" x14ac:dyDescent="0.25">
      <c r="A5" s="600">
        <v>0</v>
      </c>
      <c r="B5" s="610">
        <f>'E-Cal Inv.'!B8+'E-Cal Inv.'!C8</f>
        <v>8154603.3033750001</v>
      </c>
      <c r="C5" s="611">
        <f>+'E-InvAT'!B$25</f>
        <v>1747810.9192855756</v>
      </c>
      <c r="D5" s="611">
        <f>'E-IVA '!B26</f>
        <v>1966106.9867587208</v>
      </c>
      <c r="E5" s="611">
        <v>0</v>
      </c>
      <c r="F5" s="612">
        <v>0</v>
      </c>
      <c r="G5" s="613">
        <f>SUM(B5:F5)</f>
        <v>11868521.209419295</v>
      </c>
      <c r="H5" s="610">
        <v>0</v>
      </c>
      <c r="I5" s="611">
        <v>0</v>
      </c>
      <c r="J5" s="612">
        <v>0</v>
      </c>
      <c r="K5" s="613">
        <f t="shared" ref="K5:K10" si="0">SUM(H5:J5)</f>
        <v>0</v>
      </c>
      <c r="L5" s="614">
        <f t="shared" ref="L5:L10" si="1">K5-G5</f>
        <v>-11868521.209419295</v>
      </c>
      <c r="M5" s="615">
        <f>L5</f>
        <v>-11868521.209419295</v>
      </c>
      <c r="N5" s="168"/>
      <c r="O5" s="198"/>
      <c r="P5" s="199"/>
      <c r="Q5" s="122"/>
    </row>
    <row r="6" spans="1:17" ht="15.75" x14ac:dyDescent="0.25">
      <c r="A6" s="601">
        <v>1</v>
      </c>
      <c r="B6" s="616">
        <f>'E-Cal Inv.'!D8</f>
        <v>149850</v>
      </c>
      <c r="C6" s="617">
        <f>+'E-InvAT'!C$25</f>
        <v>5756195.2692647194</v>
      </c>
      <c r="D6" s="617">
        <f>'E-IVA '!C26</f>
        <v>817661.04748417693</v>
      </c>
      <c r="E6" s="617">
        <f>'E-Costos'!B117</f>
        <v>478331.00000531902</v>
      </c>
      <c r="F6" s="618">
        <f>'E-Costos'!B118</f>
        <v>3180901.1500353706</v>
      </c>
      <c r="G6" s="613">
        <f t="shared" ref="G6:G10" si="2">SUM(B6:F6)</f>
        <v>10382938.466789586</v>
      </c>
      <c r="H6" s="616">
        <f>'E-Costos'!B116</f>
        <v>9566620.0001063794</v>
      </c>
      <c r="I6" s="617">
        <f>'E-Inv AF y Am'!D56</f>
        <v>797908.38109166664</v>
      </c>
      <c r="J6" s="618">
        <f>'E-IVA '!C28</f>
        <v>2783768.0342428978</v>
      </c>
      <c r="K6" s="613">
        <f t="shared" si="0"/>
        <v>13148296.415440945</v>
      </c>
      <c r="L6" s="614">
        <f t="shared" si="1"/>
        <v>2765357.9486513585</v>
      </c>
      <c r="M6" s="619">
        <f>M5+L6</f>
        <v>-9103163.2607679367</v>
      </c>
      <c r="N6" s="168"/>
      <c r="O6" s="198"/>
      <c r="P6" s="199"/>
      <c r="Q6" s="122"/>
    </row>
    <row r="7" spans="1:17" ht="15.75" x14ac:dyDescent="0.25">
      <c r="A7" s="601">
        <v>2</v>
      </c>
      <c r="B7" s="616"/>
      <c r="C7" s="617">
        <f>+'E-InvAT'!D$25</f>
        <v>260468.90081768204</v>
      </c>
      <c r="D7" s="617">
        <f>'E-IVA '!D26</f>
        <v>2773.7970740892242</v>
      </c>
      <c r="E7" s="617">
        <f>'E-Costos'!C117</f>
        <v>587606.45935191773</v>
      </c>
      <c r="F7" s="618">
        <f>'E-Costos'!C118</f>
        <v>3907582.9546902524</v>
      </c>
      <c r="G7" s="613">
        <f t="shared" si="2"/>
        <v>4758432.111933941</v>
      </c>
      <c r="H7" s="616">
        <f>'E-Costos'!C116</f>
        <v>11752129.187038355</v>
      </c>
      <c r="I7" s="617">
        <f>'E-Inv AF y Am'!D56</f>
        <v>797908.38109166664</v>
      </c>
      <c r="J7" s="618">
        <f>'E-IVA '!D28</f>
        <v>2773.7970740892242</v>
      </c>
      <c r="K7" s="613">
        <f t="shared" si="0"/>
        <v>12552811.365204111</v>
      </c>
      <c r="L7" s="614">
        <f t="shared" si="1"/>
        <v>7794379.2532701697</v>
      </c>
      <c r="M7" s="619">
        <f>M6+L7</f>
        <v>-1308784.007497767</v>
      </c>
      <c r="N7" s="168"/>
      <c r="O7" s="198"/>
      <c r="P7" s="199"/>
      <c r="Q7" s="122"/>
    </row>
    <row r="8" spans="1:17" ht="15.75" x14ac:dyDescent="0.25">
      <c r="A8" s="601">
        <v>3</v>
      </c>
      <c r="B8" s="616"/>
      <c r="C8" s="617">
        <f>+'E-InvAT'!E$25</f>
        <v>-188.38332584500313</v>
      </c>
      <c r="D8" s="617">
        <f>'E-IVA '!E26</f>
        <v>0</v>
      </c>
      <c r="E8" s="617">
        <f>'E-Costos'!D117</f>
        <v>587597.51464720373</v>
      </c>
      <c r="F8" s="618">
        <f>'E-Costos'!D118</f>
        <v>3907523.472403904</v>
      </c>
      <c r="G8" s="613">
        <f t="shared" si="2"/>
        <v>4494932.6037252629</v>
      </c>
      <c r="H8" s="616">
        <f>'E-Costos'!D116</f>
        <v>11751950.292944074</v>
      </c>
      <c r="I8" s="617">
        <f>'E-Inv AF y Am'!D56</f>
        <v>797908.38109166664</v>
      </c>
      <c r="J8" s="618">
        <f>'E-IVA '!E28</f>
        <v>0</v>
      </c>
      <c r="K8" s="613">
        <f t="shared" si="0"/>
        <v>12549858.674035741</v>
      </c>
      <c r="L8" s="614">
        <f t="shared" si="1"/>
        <v>8054926.0703104781</v>
      </c>
      <c r="M8" s="619">
        <f>M7+L8</f>
        <v>6746142.0628127111</v>
      </c>
      <c r="N8" s="168"/>
      <c r="O8" s="198"/>
      <c r="P8" s="199"/>
      <c r="Q8" s="122"/>
    </row>
    <row r="9" spans="1:17" ht="15.75" x14ac:dyDescent="0.25">
      <c r="A9" s="601">
        <v>4</v>
      </c>
      <c r="B9" s="616"/>
      <c r="C9" s="617">
        <f>+'E-InvAT'!F$25</f>
        <v>-21.000680973753333</v>
      </c>
      <c r="D9" s="617">
        <f>'E-IVA '!F26</f>
        <v>5.1719156999961706</v>
      </c>
      <c r="E9" s="617">
        <f>'E-Costos'!E117</f>
        <v>587646.84936181479</v>
      </c>
      <c r="F9" s="618">
        <f>'E-Costos'!E118</f>
        <v>3907851.548256068</v>
      </c>
      <c r="G9" s="613">
        <f t="shared" si="2"/>
        <v>4495482.568852609</v>
      </c>
      <c r="H9" s="616">
        <f>'E-Costos'!E116</f>
        <v>11752936.987236295</v>
      </c>
      <c r="I9" s="617">
        <f>'E-Inv AF y Am'!E56</f>
        <v>797908.38109166664</v>
      </c>
      <c r="J9" s="618">
        <f>'E-IVA '!F28</f>
        <v>5.1719156999961706</v>
      </c>
      <c r="K9" s="613">
        <f t="shared" si="0"/>
        <v>12550850.540243663</v>
      </c>
      <c r="L9" s="614">
        <f t="shared" si="1"/>
        <v>8055367.9713910539</v>
      </c>
      <c r="M9" s="619">
        <f>M8+L9</f>
        <v>14801510.034203764</v>
      </c>
      <c r="N9" s="168"/>
      <c r="O9" s="198"/>
      <c r="P9" s="199"/>
      <c r="Q9" s="122"/>
    </row>
    <row r="10" spans="1:17" ht="16.5" thickBot="1" x14ac:dyDescent="0.3">
      <c r="A10" s="602">
        <v>5</v>
      </c>
      <c r="B10" s="620">
        <f>-'E-Inv AF y Am'!G56</f>
        <v>-4314911.3979166662</v>
      </c>
      <c r="C10" s="621">
        <f>-SUM(C5:C9)</f>
        <v>-7764265.7053611586</v>
      </c>
      <c r="D10" s="621">
        <f>'E-IVA '!G26</f>
        <v>0</v>
      </c>
      <c r="E10" s="621">
        <f>'E-Costos'!F117</f>
        <v>587646.91991219099</v>
      </c>
      <c r="F10" s="622">
        <f>'E-Costos'!F118</f>
        <v>3907852.0174160693</v>
      </c>
      <c r="G10" s="623">
        <f t="shared" si="2"/>
        <v>-7583678.1659495644</v>
      </c>
      <c r="H10" s="620">
        <f>'E-Costos'!F116</f>
        <v>11752938.398243818</v>
      </c>
      <c r="I10" s="621">
        <f>'E-Inv AF y Am'!E56</f>
        <v>797908.38109166664</v>
      </c>
      <c r="J10" s="622">
        <f>'E-IVA '!G28</f>
        <v>0</v>
      </c>
      <c r="K10" s="623">
        <f t="shared" si="0"/>
        <v>12550846.779335486</v>
      </c>
      <c r="L10" s="624">
        <f t="shared" si="1"/>
        <v>20134524.945285052</v>
      </c>
      <c r="M10" s="625">
        <f>M9+L10</f>
        <v>34936034.97948882</v>
      </c>
      <c r="N10" s="168"/>
      <c r="O10" s="198"/>
      <c r="P10" s="199"/>
      <c r="Q10" s="122"/>
    </row>
    <row r="11" spans="1:17" ht="16.5" thickBot="1" x14ac:dyDescent="0.3">
      <c r="A11" s="174" t="s">
        <v>241</v>
      </c>
      <c r="B11" s="1113">
        <f t="shared" ref="B11:L11" si="3">SUM(B5:B10)</f>
        <v>3989541.9054583339</v>
      </c>
      <c r="C11" s="626">
        <f t="shared" si="3"/>
        <v>0</v>
      </c>
      <c r="D11" s="627">
        <f t="shared" si="3"/>
        <v>2786547.0032326872</v>
      </c>
      <c r="E11" s="626">
        <f t="shared" si="3"/>
        <v>2828828.7432784466</v>
      </c>
      <c r="F11" s="628">
        <f t="shared" si="3"/>
        <v>18811711.142801665</v>
      </c>
      <c r="G11" s="629">
        <f t="shared" si="3"/>
        <v>28416628.794771131</v>
      </c>
      <c r="H11" s="630">
        <f t="shared" si="3"/>
        <v>56576574.865568921</v>
      </c>
      <c r="I11" s="1112">
        <f t="shared" si="3"/>
        <v>3989541.905458333</v>
      </c>
      <c r="J11" s="631">
        <f t="shared" si="3"/>
        <v>2786547.0032326872</v>
      </c>
      <c r="K11" s="629">
        <f t="shared" si="3"/>
        <v>63352663.774259947</v>
      </c>
      <c r="L11" s="632">
        <f t="shared" si="3"/>
        <v>34936034.97948882</v>
      </c>
      <c r="M11" s="633"/>
      <c r="N11" s="168"/>
      <c r="O11" s="196"/>
      <c r="P11" s="200"/>
      <c r="Q11" s="122"/>
    </row>
    <row r="12" spans="1:17" ht="15.75" thickBot="1" x14ac:dyDescent="0.25">
      <c r="A12" s="168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</row>
    <row r="13" spans="1:17" ht="16.5" thickBot="1" x14ac:dyDescent="0.3">
      <c r="A13" s="168"/>
      <c r="B13" s="168"/>
      <c r="C13" s="175" t="s">
        <v>242</v>
      </c>
      <c r="D13" s="634">
        <f>H11-E11-F11</f>
        <v>34936034.979488812</v>
      </c>
      <c r="E13" s="168"/>
      <c r="F13" s="168"/>
      <c r="H13" s="168"/>
      <c r="I13" s="168"/>
      <c r="J13" s="168"/>
      <c r="K13" s="168"/>
      <c r="L13" s="168"/>
      <c r="M13" s="168"/>
      <c r="N13" s="176"/>
      <c r="O13" s="168"/>
      <c r="P13" s="168"/>
      <c r="Q13" s="168"/>
    </row>
    <row r="14" spans="1:17" ht="16.5" thickBot="1" x14ac:dyDescent="0.3">
      <c r="A14" s="177"/>
      <c r="B14" s="168"/>
      <c r="C14" s="178" t="s">
        <v>721</v>
      </c>
      <c r="D14" s="179">
        <f>2+((ABS(M7))/(ABS(M7)+M8))</f>
        <v>2.162482435726107</v>
      </c>
      <c r="E14" s="180" t="s">
        <v>722</v>
      </c>
      <c r="F14" s="185" t="s">
        <v>747</v>
      </c>
      <c r="G14" s="187"/>
      <c r="H14" s="635" t="s">
        <v>748</v>
      </c>
      <c r="I14" s="636">
        <f>((ABS(M7))/(L8))*365</f>
        <v>59.3060890400291</v>
      </c>
      <c r="J14" s="186" t="s">
        <v>749</v>
      </c>
      <c r="K14" s="168"/>
      <c r="L14" s="168"/>
      <c r="M14" s="168"/>
      <c r="N14" s="168"/>
      <c r="O14" s="168"/>
      <c r="P14" s="168"/>
      <c r="Q14" s="168"/>
    </row>
    <row r="15" spans="1:17" ht="16.5" thickBot="1" x14ac:dyDescent="0.3">
      <c r="A15" s="168"/>
      <c r="B15" s="168"/>
      <c r="C15" s="181" t="s">
        <v>243</v>
      </c>
      <c r="D15" s="182">
        <f>IRR(L5:L10)</f>
        <v>0.50290326323310319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</row>
    <row r="16" spans="1:17" ht="15" x14ac:dyDescent="0.2">
      <c r="A16" s="16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83"/>
      <c r="M16" s="168"/>
      <c r="N16" s="168"/>
      <c r="O16" s="168"/>
      <c r="P16" s="168"/>
      <c r="Q16" s="168"/>
    </row>
    <row r="17" spans="1:17" ht="15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15" x14ac:dyDescent="0.2">
      <c r="A18" s="168"/>
      <c r="B18" s="168"/>
      <c r="C18" s="168"/>
      <c r="D18" s="168"/>
      <c r="E18" s="168"/>
      <c r="F18" s="168"/>
      <c r="G18" s="168"/>
      <c r="H18" s="168"/>
      <c r="I18" s="1114"/>
      <c r="J18" s="168"/>
      <c r="K18" s="168"/>
      <c r="L18" s="168"/>
      <c r="M18" s="168"/>
      <c r="N18" s="168"/>
      <c r="O18" s="168"/>
      <c r="P18" s="168"/>
      <c r="Q18" s="168"/>
    </row>
    <row r="19" spans="1:17" ht="15" x14ac:dyDescent="0.2">
      <c r="A19" s="138"/>
      <c r="B19" s="138"/>
      <c r="C19" s="138"/>
      <c r="D19" s="138"/>
      <c r="E19" s="138"/>
      <c r="F19" s="138"/>
      <c r="G19" s="1115"/>
      <c r="H19" s="138"/>
      <c r="I19" s="138"/>
      <c r="J19" s="138"/>
      <c r="K19" s="138"/>
      <c r="L19" s="138"/>
      <c r="M19" s="138"/>
      <c r="N19" s="138"/>
      <c r="O19" s="138"/>
      <c r="P19" s="138"/>
      <c r="Q19" s="138"/>
    </row>
    <row r="20" spans="1:17" ht="15" x14ac:dyDescent="0.2">
      <c r="A20" s="138"/>
      <c r="B20" s="138"/>
      <c r="C20" s="138"/>
      <c r="D20" s="138"/>
      <c r="E20" s="138"/>
      <c r="F20" s="138"/>
      <c r="G20" s="138"/>
      <c r="H20" s="1115"/>
      <c r="I20" s="138"/>
      <c r="J20" s="138"/>
      <c r="K20" s="138"/>
      <c r="L20" s="138"/>
      <c r="M20" s="138"/>
      <c r="N20" s="138"/>
      <c r="O20" s="138"/>
      <c r="P20" s="138"/>
      <c r="Q20" s="138"/>
    </row>
    <row r="21" spans="1:17" ht="15" x14ac:dyDescent="0.2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</row>
    <row r="22" spans="1:17" ht="15" x14ac:dyDescent="0.2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</row>
    <row r="23" spans="1:17" ht="15" x14ac:dyDescent="0.2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</row>
    <row r="24" spans="1:17" ht="15" x14ac:dyDescent="0.2">
      <c r="A24" s="138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</row>
    <row r="25" spans="1:17" ht="15" x14ac:dyDescent="0.2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1:17" ht="15" x14ac:dyDescent="0.2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35"/>
  <sheetViews>
    <sheetView topLeftCell="B1" zoomScale="85" zoomScaleNormal="85" workbookViewId="0">
      <selection activeCell="C8" sqref="C8"/>
    </sheetView>
  </sheetViews>
  <sheetFormatPr baseColWidth="10" defaultColWidth="11.5703125" defaultRowHeight="12.75" x14ac:dyDescent="0.2"/>
  <cols>
    <col min="2" max="2" width="16" customWidth="1"/>
    <col min="3" max="3" width="17.42578125" customWidth="1"/>
    <col min="4" max="4" width="16.140625" customWidth="1"/>
    <col min="5" max="5" width="22.42578125" customWidth="1"/>
    <col min="6" max="6" width="17" customWidth="1"/>
    <col min="7" max="7" width="19.7109375" customWidth="1"/>
    <col min="8" max="8" width="16.42578125" customWidth="1"/>
    <col min="9" max="9" width="18.28515625" customWidth="1"/>
  </cols>
  <sheetData>
    <row r="1" spans="2:10" x14ac:dyDescent="0.2">
      <c r="B1" s="1480" t="s">
        <v>764</v>
      </c>
      <c r="C1" s="1480"/>
      <c r="D1" s="1480"/>
      <c r="E1" s="1480"/>
    </row>
    <row r="2" spans="2:10" x14ac:dyDescent="0.2">
      <c r="B2" s="1480"/>
      <c r="C2" s="1480"/>
      <c r="D2" s="1480"/>
      <c r="E2" s="1480"/>
    </row>
    <row r="3" spans="2:10" x14ac:dyDescent="0.2">
      <c r="B3" s="641" t="s">
        <v>765</v>
      </c>
      <c r="C3" t="s">
        <v>861</v>
      </c>
    </row>
    <row r="4" spans="2:10" x14ac:dyDescent="0.2">
      <c r="B4" s="641" t="s">
        <v>766</v>
      </c>
      <c r="C4" t="s">
        <v>852</v>
      </c>
      <c r="D4" s="53">
        <f>InfoInicial!B37</f>
        <v>0.4</v>
      </c>
      <c r="E4" t="s">
        <v>853</v>
      </c>
    </row>
    <row r="5" spans="2:10" x14ac:dyDescent="0.2">
      <c r="B5" s="641" t="s">
        <v>767</v>
      </c>
      <c r="C5" s="670">
        <f>'E-Cal Inv.'!I8*D4</f>
        <v>3321781.3213500003</v>
      </c>
    </row>
    <row r="6" spans="2:10" x14ac:dyDescent="0.2">
      <c r="B6" s="641" t="s">
        <v>768</v>
      </c>
      <c r="C6" s="670">
        <f>+C5</f>
        <v>3321781.3213500003</v>
      </c>
    </row>
    <row r="7" spans="2:10" x14ac:dyDescent="0.2">
      <c r="B7" s="641" t="s">
        <v>769</v>
      </c>
      <c r="C7" t="s">
        <v>860</v>
      </c>
    </row>
    <row r="8" spans="2:10" x14ac:dyDescent="0.2">
      <c r="B8" s="641" t="s">
        <v>770</v>
      </c>
      <c r="C8" t="s">
        <v>859</v>
      </c>
    </row>
    <row r="9" spans="2:10" x14ac:dyDescent="0.2">
      <c r="B9" s="641" t="s">
        <v>771</v>
      </c>
      <c r="C9" t="s">
        <v>772</v>
      </c>
    </row>
    <row r="12" spans="2:10" x14ac:dyDescent="0.2">
      <c r="B12" s="671" t="s">
        <v>253</v>
      </c>
      <c r="C12" s="672" t="s">
        <v>254</v>
      </c>
      <c r="D12" s="672" t="s">
        <v>255</v>
      </c>
      <c r="E12" s="672" t="s">
        <v>256</v>
      </c>
      <c r="F12" s="672" t="s">
        <v>255</v>
      </c>
      <c r="G12" s="672" t="s">
        <v>256</v>
      </c>
      <c r="H12" s="673" t="s">
        <v>258</v>
      </c>
      <c r="I12" s="674"/>
      <c r="J12" s="675"/>
    </row>
    <row r="13" spans="2:10" ht="13.5" thickBot="1" x14ac:dyDescent="0.25">
      <c r="B13" s="644"/>
      <c r="C13" s="645"/>
      <c r="D13" s="645" t="s">
        <v>259</v>
      </c>
      <c r="E13" s="645" t="s">
        <v>259</v>
      </c>
      <c r="F13" s="645" t="s">
        <v>35</v>
      </c>
      <c r="G13" s="645" t="s">
        <v>35</v>
      </c>
      <c r="H13" s="646" t="s">
        <v>262</v>
      </c>
      <c r="I13" s="676" t="s">
        <v>773</v>
      </c>
      <c r="J13" s="675"/>
    </row>
    <row r="14" spans="2:10" ht="14.25" thickTop="1" thickBot="1" x14ac:dyDescent="0.25">
      <c r="B14" s="647" t="s">
        <v>774</v>
      </c>
      <c r="C14" s="648">
        <f>+C6/3</f>
        <v>1107260.4404500001</v>
      </c>
      <c r="D14" s="648"/>
      <c r="E14" s="648"/>
      <c r="F14" s="648"/>
      <c r="G14" s="649"/>
      <c r="H14" s="648">
        <f>C$6/3*0.02</f>
        <v>22145.208809000003</v>
      </c>
      <c r="I14" s="677"/>
      <c r="J14" s="678"/>
    </row>
    <row r="15" spans="2:10" ht="14.25" thickTop="1" thickBot="1" x14ac:dyDescent="0.25">
      <c r="B15" s="651" t="s">
        <v>775</v>
      </c>
      <c r="C15" s="640">
        <f>+C6/3+C14</f>
        <v>2214520.8809000002</v>
      </c>
      <c r="D15" s="640"/>
      <c r="E15" s="640">
        <f>+C14*InfoInicial!B35/12*3</f>
        <v>44290.417618000007</v>
      </c>
      <c r="F15" s="640"/>
      <c r="G15" s="650"/>
      <c r="H15" s="648">
        <f t="shared" ref="H15:H16" si="0">C$6/3*0.02</f>
        <v>22145.208809000003</v>
      </c>
      <c r="I15" s="679"/>
      <c r="J15" s="678"/>
    </row>
    <row r="16" spans="2:10" ht="13.5" thickTop="1" x14ac:dyDescent="0.2">
      <c r="B16" s="651" t="s">
        <v>776</v>
      </c>
      <c r="C16" s="640">
        <f>+C6/3+C15</f>
        <v>3321781.3213500003</v>
      </c>
      <c r="D16" s="640"/>
      <c r="E16" s="640">
        <f>+C15*InfoInicial!B35/12*3</f>
        <v>88580.835236000014</v>
      </c>
      <c r="F16" s="640"/>
      <c r="G16" s="650"/>
      <c r="H16" s="648">
        <f t="shared" si="0"/>
        <v>22145.208809000003</v>
      </c>
      <c r="I16" s="679"/>
      <c r="J16" s="678"/>
    </row>
    <row r="17" spans="2:10" x14ac:dyDescent="0.2">
      <c r="B17" s="651" t="s">
        <v>777</v>
      </c>
      <c r="C17" s="640">
        <f>+C6</f>
        <v>3321781.3213500003</v>
      </c>
      <c r="D17" s="640"/>
      <c r="E17" s="640">
        <f>+C16*InfoInicial!B35/12*1</f>
        <v>44290.417618000007</v>
      </c>
      <c r="F17" s="640"/>
      <c r="G17" s="650"/>
      <c r="H17" s="640"/>
      <c r="I17" s="679"/>
      <c r="J17" s="678"/>
    </row>
    <row r="18" spans="2:10" x14ac:dyDescent="0.2">
      <c r="B18" s="651"/>
      <c r="C18" s="640"/>
      <c r="D18" s="640"/>
      <c r="E18" s="640"/>
      <c r="F18" s="640"/>
      <c r="G18" s="650"/>
      <c r="H18" s="640"/>
      <c r="I18" s="679"/>
      <c r="J18" s="678"/>
    </row>
    <row r="19" spans="2:10" x14ac:dyDescent="0.2">
      <c r="B19" s="651"/>
      <c r="C19" s="640"/>
      <c r="D19" s="640"/>
      <c r="E19" s="640"/>
      <c r="F19" s="640"/>
      <c r="G19" s="650"/>
      <c r="H19" s="640"/>
      <c r="I19" s="679"/>
      <c r="J19" s="678"/>
    </row>
    <row r="20" spans="2:10" x14ac:dyDescent="0.2">
      <c r="B20" s="651"/>
      <c r="C20" s="640"/>
      <c r="D20" s="640"/>
      <c r="E20" s="640"/>
      <c r="F20" s="640"/>
      <c r="G20" s="650"/>
      <c r="H20" s="640"/>
      <c r="I20" s="679"/>
      <c r="J20" s="678"/>
    </row>
    <row r="21" spans="2:10" ht="13.5" thickBot="1" x14ac:dyDescent="0.25">
      <c r="B21" s="652"/>
      <c r="C21" s="653"/>
      <c r="D21" s="653"/>
      <c r="E21" s="654"/>
      <c r="F21" s="653"/>
      <c r="G21" s="655"/>
      <c r="H21" s="654"/>
      <c r="I21" s="680"/>
      <c r="J21" s="678"/>
    </row>
    <row r="22" spans="2:10" ht="14.25" thickTop="1" thickBot="1" x14ac:dyDescent="0.25">
      <c r="B22" s="1481" t="s">
        <v>263</v>
      </c>
      <c r="C22" s="1481"/>
      <c r="D22" s="656"/>
      <c r="E22" s="681">
        <f>+SUM(E15:E17)</f>
        <v>177161.67047200003</v>
      </c>
      <c r="F22" s="656"/>
      <c r="G22" s="682">
        <f>+E22</f>
        <v>177161.67047200003</v>
      </c>
      <c r="H22" s="681">
        <f>+SUM(H14:H16)</f>
        <v>66435.62642700001</v>
      </c>
      <c r="I22" s="683">
        <f>+SUM(G22:H22)</f>
        <v>243597.29689900004</v>
      </c>
      <c r="J22" s="684"/>
    </row>
    <row r="23" spans="2:10" ht="13.5" thickTop="1" x14ac:dyDescent="0.2">
      <c r="B23" s="685" t="s">
        <v>778</v>
      </c>
      <c r="C23" s="648">
        <f>+C17</f>
        <v>3321781.3213500003</v>
      </c>
      <c r="D23" s="648"/>
      <c r="E23" s="657"/>
      <c r="F23" s="648"/>
      <c r="G23" s="649"/>
      <c r="H23" s="657"/>
      <c r="I23" s="677"/>
      <c r="J23" s="678"/>
    </row>
    <row r="24" spans="2:10" x14ac:dyDescent="0.2">
      <c r="B24" s="686" t="s">
        <v>779</v>
      </c>
      <c r="C24" s="640">
        <f>+C23</f>
        <v>3321781.3213500003</v>
      </c>
      <c r="D24" s="640"/>
      <c r="E24" s="640">
        <f>+C23*InfoInicial!$B$35/12*6</f>
        <v>265742.50570800004</v>
      </c>
      <c r="F24" s="640"/>
      <c r="G24" s="650"/>
      <c r="H24" s="640"/>
      <c r="I24" s="687">
        <f t="shared" ref="I24:I32" si="1">+SUM(D24:E24)</f>
        <v>265742.50570800004</v>
      </c>
      <c r="J24" s="678"/>
    </row>
    <row r="25" spans="2:10" x14ac:dyDescent="0.2">
      <c r="B25" s="688" t="s">
        <v>780</v>
      </c>
      <c r="C25" s="640">
        <f>+C24</f>
        <v>3321781.3213500003</v>
      </c>
      <c r="D25" s="640"/>
      <c r="E25" s="640">
        <f>+C24*InfoInicial!$B$35/12*6</f>
        <v>265742.50570800004</v>
      </c>
      <c r="F25" s="640"/>
      <c r="G25" s="640">
        <f>+SUM(E24:E25)</f>
        <v>531485.01141600008</v>
      </c>
      <c r="H25" s="640"/>
      <c r="I25" s="687">
        <f t="shared" si="1"/>
        <v>265742.50570800004</v>
      </c>
      <c r="J25" s="678"/>
    </row>
    <row r="26" spans="2:10" x14ac:dyDescent="0.2">
      <c r="B26" s="688" t="s">
        <v>781</v>
      </c>
      <c r="C26" s="640">
        <f>+C25</f>
        <v>3321781.3213500003</v>
      </c>
      <c r="D26" s="640"/>
      <c r="E26" s="640">
        <f>+C25*InfoInicial!$B$35/12*6</f>
        <v>265742.50570800004</v>
      </c>
      <c r="F26" s="640"/>
      <c r="G26" s="640"/>
      <c r="H26" s="640"/>
      <c r="I26" s="687">
        <f t="shared" si="1"/>
        <v>265742.50570800004</v>
      </c>
      <c r="J26" s="678"/>
    </row>
    <row r="27" spans="2:10" x14ac:dyDescent="0.2">
      <c r="B27" s="688" t="s">
        <v>782</v>
      </c>
      <c r="C27" s="640">
        <f t="shared" ref="C27:C32" si="2">+C26-D27</f>
        <v>2768151.101125</v>
      </c>
      <c r="D27" s="640">
        <f>+$C$6/6</f>
        <v>553630.22022500006</v>
      </c>
      <c r="E27" s="640">
        <f>+C26*InfoInicial!$B$35/12*6</f>
        <v>265742.50570800004</v>
      </c>
      <c r="F27" s="640">
        <f>+SUM(D26:D27)</f>
        <v>553630.22022500006</v>
      </c>
      <c r="G27" s="640">
        <f>+SUM(E26:E27)</f>
        <v>531485.01141600008</v>
      </c>
      <c r="H27" s="640"/>
      <c r="I27" s="687">
        <f t="shared" si="1"/>
        <v>819372.7259330001</v>
      </c>
      <c r="J27" s="678"/>
    </row>
    <row r="28" spans="2:10" x14ac:dyDescent="0.2">
      <c r="B28" s="688" t="s">
        <v>783</v>
      </c>
      <c r="C28" s="640">
        <f t="shared" si="2"/>
        <v>2214520.8809000002</v>
      </c>
      <c r="D28" s="640">
        <f t="shared" ref="D28:D32" si="3">+$C$6/6</f>
        <v>553630.22022500006</v>
      </c>
      <c r="E28" s="640">
        <f>+C27*InfoInicial!$B$35/12*6</f>
        <v>221452.08808999998</v>
      </c>
      <c r="F28" s="640"/>
      <c r="G28" s="640"/>
      <c r="H28" s="640"/>
      <c r="I28" s="687">
        <f t="shared" si="1"/>
        <v>775082.30831500003</v>
      </c>
      <c r="J28" s="678"/>
    </row>
    <row r="29" spans="2:10" x14ac:dyDescent="0.2">
      <c r="B29" s="688" t="s">
        <v>784</v>
      </c>
      <c r="C29" s="640">
        <f t="shared" si="2"/>
        <v>1660890.6606750002</v>
      </c>
      <c r="D29" s="640">
        <f t="shared" si="3"/>
        <v>553630.22022500006</v>
      </c>
      <c r="E29" s="640">
        <f>+C28*InfoInicial!$B$35/12*6</f>
        <v>177161.67047200003</v>
      </c>
      <c r="F29" s="640">
        <f>+SUM(D28:D29)</f>
        <v>1107260.4404500001</v>
      </c>
      <c r="G29" s="640">
        <f>+SUM(E28:E29)</f>
        <v>398613.758562</v>
      </c>
      <c r="H29" s="640"/>
      <c r="I29" s="687">
        <f t="shared" si="1"/>
        <v>730791.89069700008</v>
      </c>
      <c r="J29" s="678"/>
    </row>
    <row r="30" spans="2:10" x14ac:dyDescent="0.2">
      <c r="B30" s="688" t="s">
        <v>785</v>
      </c>
      <c r="C30" s="640">
        <f t="shared" si="2"/>
        <v>1107260.4404500001</v>
      </c>
      <c r="D30" s="640">
        <f t="shared" si="3"/>
        <v>553630.22022500006</v>
      </c>
      <c r="E30" s="640">
        <f>+C29*InfoInicial!$B$35/12*6</f>
        <v>132871.25285400002</v>
      </c>
      <c r="F30" s="640"/>
      <c r="G30" s="640"/>
      <c r="H30" s="640"/>
      <c r="I30" s="687">
        <f t="shared" si="1"/>
        <v>686501.47307900013</v>
      </c>
      <c r="J30" s="678"/>
    </row>
    <row r="31" spans="2:10" x14ac:dyDescent="0.2">
      <c r="B31" s="688" t="s">
        <v>786</v>
      </c>
      <c r="C31" s="640">
        <f t="shared" si="2"/>
        <v>553630.22022500006</v>
      </c>
      <c r="D31" s="640">
        <f t="shared" si="3"/>
        <v>553630.22022500006</v>
      </c>
      <c r="E31" s="640">
        <f>+C30*InfoInicial!$B$35/12*6</f>
        <v>88580.835236000014</v>
      </c>
      <c r="F31" s="640">
        <f>+SUM(D30:D31)</f>
        <v>1107260.4404500001</v>
      </c>
      <c r="G31" s="640">
        <f>+SUM(E30:E31)</f>
        <v>221452.08809000003</v>
      </c>
      <c r="H31" s="640"/>
      <c r="I31" s="687">
        <f t="shared" si="1"/>
        <v>642211.05546100007</v>
      </c>
      <c r="J31" s="678"/>
    </row>
    <row r="32" spans="2:10" ht="13.5" thickBot="1" x14ac:dyDescent="0.25">
      <c r="B32" s="689" t="s">
        <v>787</v>
      </c>
      <c r="C32" s="654">
        <f t="shared" si="2"/>
        <v>0</v>
      </c>
      <c r="D32" s="640">
        <f t="shared" si="3"/>
        <v>553630.22022500006</v>
      </c>
      <c r="E32" s="654">
        <f>+C31*InfoInicial!$B$35/12*6</f>
        <v>44290.417618000007</v>
      </c>
      <c r="F32" s="654">
        <f>+D32</f>
        <v>553630.22022500006</v>
      </c>
      <c r="G32" s="654">
        <f>+E32</f>
        <v>44290.417618000007</v>
      </c>
      <c r="H32" s="654"/>
      <c r="I32" s="690">
        <f t="shared" si="1"/>
        <v>597920.637843</v>
      </c>
      <c r="J32" s="678"/>
    </row>
    <row r="33" spans="2:10" ht="14.25" thickTop="1" thickBot="1" x14ac:dyDescent="0.25">
      <c r="B33" s="1482" t="s">
        <v>264</v>
      </c>
      <c r="C33" s="1483"/>
      <c r="D33" s="658">
        <f>SUM(D27:D32)</f>
        <v>3321781.3213499999</v>
      </c>
      <c r="E33" s="658">
        <f>SUM(E24:E32)</f>
        <v>1727326.2871020003</v>
      </c>
      <c r="F33" s="658">
        <f>+F27+F29+F31+F32</f>
        <v>3321781.3213499999</v>
      </c>
      <c r="G33" s="659">
        <f>+G25+G27+G29+G31+G32</f>
        <v>1727326.2871020001</v>
      </c>
      <c r="H33" s="658">
        <f>+H22</f>
        <v>66435.62642700001</v>
      </c>
      <c r="I33" s="691"/>
      <c r="J33" s="684"/>
    </row>
    <row r="34" spans="2:10" ht="13.5" thickTop="1" x14ac:dyDescent="0.2">
      <c r="E34" s="692"/>
    </row>
    <row r="35" spans="2:10" x14ac:dyDescent="0.2">
      <c r="E35" s="692"/>
    </row>
  </sheetData>
  <mergeCells count="3">
    <mergeCell ref="B1:E2"/>
    <mergeCell ref="B22:C22"/>
    <mergeCell ref="B33:C3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F51"/>
  <sheetViews>
    <sheetView zoomScale="85" zoomScaleNormal="85" workbookViewId="0">
      <selection activeCell="E24" sqref="E24"/>
    </sheetView>
  </sheetViews>
  <sheetFormatPr baseColWidth="10" defaultColWidth="11.5703125" defaultRowHeight="12.75" x14ac:dyDescent="0.2"/>
  <cols>
    <col min="2" max="2" width="41.5703125" customWidth="1"/>
    <col min="3" max="3" width="18.42578125" customWidth="1"/>
    <col min="4" max="4" width="19" customWidth="1"/>
    <col min="5" max="5" width="18.28515625" customWidth="1"/>
  </cols>
  <sheetData>
    <row r="1" spans="2:6" x14ac:dyDescent="0.2">
      <c r="B1" s="1480" t="s">
        <v>788</v>
      </c>
      <c r="C1" s="1480"/>
      <c r="D1" s="1480"/>
    </row>
    <row r="2" spans="2:6" x14ac:dyDescent="0.2">
      <c r="B2" s="1480"/>
      <c r="C2" s="1480"/>
      <c r="D2" s="1480"/>
    </row>
    <row r="3" spans="2:6" x14ac:dyDescent="0.2">
      <c r="B3" s="693" t="s">
        <v>789</v>
      </c>
      <c r="C3" s="694">
        <f>InfoInicial!B40*'E-Cal Inv.'!I18</f>
        <v>3882133.1017646585</v>
      </c>
      <c r="D3" s="693"/>
      <c r="E3" s="693"/>
      <c r="F3" s="693"/>
    </row>
    <row r="4" spans="2:6" x14ac:dyDescent="0.2">
      <c r="B4" s="693" t="s">
        <v>790</v>
      </c>
      <c r="C4" s="695">
        <f>C6/360*InfoInicial!B39</f>
        <v>0.05</v>
      </c>
      <c r="D4" s="693"/>
      <c r="E4" s="693"/>
      <c r="F4" s="693"/>
    </row>
    <row r="5" spans="2:6" x14ac:dyDescent="0.2">
      <c r="B5" s="693" t="s">
        <v>791</v>
      </c>
      <c r="C5" s="694">
        <f>+C3*8*C4</f>
        <v>1552853.2407058636</v>
      </c>
      <c r="D5" s="693"/>
      <c r="E5" s="693"/>
      <c r="F5" s="693"/>
    </row>
    <row r="6" spans="2:6" x14ac:dyDescent="0.2">
      <c r="B6" s="693" t="s">
        <v>792</v>
      </c>
      <c r="C6" s="696">
        <f>InfoInicial!B41</f>
        <v>0.4</v>
      </c>
      <c r="D6" s="693"/>
      <c r="E6" s="693"/>
      <c r="F6" s="693"/>
    </row>
    <row r="7" spans="2:6" x14ac:dyDescent="0.2">
      <c r="B7" s="693" t="s">
        <v>793</v>
      </c>
      <c r="C7" s="693"/>
      <c r="D7" s="693"/>
      <c r="E7" s="693"/>
      <c r="F7" s="693"/>
    </row>
    <row r="9" spans="2:6" ht="13.5" thickBot="1" x14ac:dyDescent="0.25"/>
    <row r="10" spans="2:6" x14ac:dyDescent="0.2">
      <c r="B10" s="1484" t="s">
        <v>253</v>
      </c>
      <c r="C10" s="1486" t="s">
        <v>254</v>
      </c>
      <c r="D10" s="697" t="s">
        <v>256</v>
      </c>
      <c r="E10" s="698" t="s">
        <v>256</v>
      </c>
      <c r="F10" s="675"/>
    </row>
    <row r="11" spans="2:6" ht="13.5" thickBot="1" x14ac:dyDescent="0.25">
      <c r="B11" s="1485"/>
      <c r="C11" s="1487"/>
      <c r="D11" s="699" t="s">
        <v>794</v>
      </c>
      <c r="E11" s="700" t="s">
        <v>35</v>
      </c>
      <c r="F11" s="675"/>
    </row>
    <row r="12" spans="2:6" ht="13.5" thickBot="1" x14ac:dyDescent="0.25">
      <c r="B12" s="701" t="s">
        <v>795</v>
      </c>
      <c r="C12" s="702">
        <f t="shared" ref="C12:C51" si="0">+$C$3</f>
        <v>3882133.1017646585</v>
      </c>
      <c r="D12" s="702">
        <f t="shared" ref="D12:D51" si="1">+$C$5/8</f>
        <v>194106.65508823295</v>
      </c>
      <c r="E12" s="703"/>
      <c r="F12" s="678"/>
    </row>
    <row r="13" spans="2:6" ht="14.25" thickTop="1" thickBot="1" x14ac:dyDescent="0.25">
      <c r="B13" s="704" t="s">
        <v>796</v>
      </c>
      <c r="C13" s="648">
        <f>+$C$3</f>
        <v>3882133.1017646585</v>
      </c>
      <c r="D13" s="648">
        <f t="shared" si="1"/>
        <v>194106.65508823295</v>
      </c>
      <c r="E13" s="705"/>
      <c r="F13" s="678"/>
    </row>
    <row r="14" spans="2:6" ht="14.25" thickTop="1" thickBot="1" x14ac:dyDescent="0.25">
      <c r="B14" s="704" t="s">
        <v>797</v>
      </c>
      <c r="C14" s="648">
        <f t="shared" si="0"/>
        <v>3882133.1017646585</v>
      </c>
      <c r="D14" s="648">
        <f t="shared" si="1"/>
        <v>194106.65508823295</v>
      </c>
      <c r="E14" s="705"/>
      <c r="F14" s="678"/>
    </row>
    <row r="15" spans="2:6" ht="14.25" thickTop="1" thickBot="1" x14ac:dyDescent="0.25">
      <c r="B15" s="704" t="s">
        <v>798</v>
      </c>
      <c r="C15" s="648">
        <f t="shared" si="0"/>
        <v>3882133.1017646585</v>
      </c>
      <c r="D15" s="648">
        <f t="shared" si="1"/>
        <v>194106.65508823295</v>
      </c>
      <c r="E15" s="705"/>
      <c r="F15" s="678"/>
    </row>
    <row r="16" spans="2:6" ht="14.25" thickTop="1" thickBot="1" x14ac:dyDescent="0.25">
      <c r="B16" s="704" t="s">
        <v>799</v>
      </c>
      <c r="C16" s="648">
        <f t="shared" si="0"/>
        <v>3882133.1017646585</v>
      </c>
      <c r="D16" s="648">
        <f t="shared" si="1"/>
        <v>194106.65508823295</v>
      </c>
      <c r="E16" s="705"/>
      <c r="F16" s="678"/>
    </row>
    <row r="17" spans="2:6" ht="14.25" thickTop="1" thickBot="1" x14ac:dyDescent="0.25">
      <c r="B17" s="704" t="s">
        <v>800</v>
      </c>
      <c r="C17" s="648">
        <f t="shared" si="0"/>
        <v>3882133.1017646585</v>
      </c>
      <c r="D17" s="648">
        <f>+$C$5/8</f>
        <v>194106.65508823295</v>
      </c>
      <c r="E17" s="705"/>
      <c r="F17" s="678"/>
    </row>
    <row r="18" spans="2:6" ht="14.25" thickTop="1" thickBot="1" x14ac:dyDescent="0.25">
      <c r="B18" s="706" t="s">
        <v>801</v>
      </c>
      <c r="C18" s="648">
        <f t="shared" si="0"/>
        <v>3882133.1017646585</v>
      </c>
      <c r="D18" s="648">
        <f t="shared" si="1"/>
        <v>194106.65508823295</v>
      </c>
      <c r="E18" s="707"/>
      <c r="F18" s="678"/>
    </row>
    <row r="19" spans="2:6" ht="14.25" thickTop="1" thickBot="1" x14ac:dyDescent="0.25">
      <c r="B19" s="706" t="s">
        <v>802</v>
      </c>
      <c r="C19" s="648">
        <f t="shared" si="0"/>
        <v>3882133.1017646585</v>
      </c>
      <c r="D19" s="648">
        <f t="shared" si="1"/>
        <v>194106.65508823295</v>
      </c>
      <c r="E19" s="707">
        <f>+SUM(D12:D19)</f>
        <v>1552853.2407058636</v>
      </c>
      <c r="F19" s="678"/>
    </row>
    <row r="20" spans="2:6" ht="14.25" thickTop="1" thickBot="1" x14ac:dyDescent="0.25">
      <c r="B20" s="706" t="s">
        <v>803</v>
      </c>
      <c r="C20" s="648">
        <f t="shared" si="0"/>
        <v>3882133.1017646585</v>
      </c>
      <c r="D20" s="648">
        <f t="shared" si="1"/>
        <v>194106.65508823295</v>
      </c>
      <c r="E20" s="707"/>
      <c r="F20" s="684"/>
    </row>
    <row r="21" spans="2:6" ht="14.25" thickTop="1" thickBot="1" x14ac:dyDescent="0.25">
      <c r="B21" s="704" t="s">
        <v>804</v>
      </c>
      <c r="C21" s="648">
        <f t="shared" si="0"/>
        <v>3882133.1017646585</v>
      </c>
      <c r="D21" s="648">
        <f t="shared" si="1"/>
        <v>194106.65508823295</v>
      </c>
      <c r="E21" s="707"/>
      <c r="F21" s="678"/>
    </row>
    <row r="22" spans="2:6" ht="14.25" thickTop="1" thickBot="1" x14ac:dyDescent="0.25">
      <c r="B22" s="704" t="s">
        <v>805</v>
      </c>
      <c r="C22" s="648">
        <f t="shared" si="0"/>
        <v>3882133.1017646585</v>
      </c>
      <c r="D22" s="648">
        <f t="shared" si="1"/>
        <v>194106.65508823295</v>
      </c>
      <c r="E22" s="707"/>
      <c r="F22" s="678"/>
    </row>
    <row r="23" spans="2:6" ht="14.25" thickTop="1" thickBot="1" x14ac:dyDescent="0.25">
      <c r="B23" s="704" t="s">
        <v>806</v>
      </c>
      <c r="C23" s="648">
        <f t="shared" si="0"/>
        <v>3882133.1017646585</v>
      </c>
      <c r="D23" s="648">
        <f t="shared" si="1"/>
        <v>194106.65508823295</v>
      </c>
      <c r="E23" s="707"/>
      <c r="F23" s="678"/>
    </row>
    <row r="24" spans="2:6" ht="14.25" thickTop="1" thickBot="1" x14ac:dyDescent="0.25">
      <c r="B24" s="704" t="s">
        <v>807</v>
      </c>
      <c r="C24" s="648">
        <f t="shared" si="0"/>
        <v>3882133.1017646585</v>
      </c>
      <c r="D24" s="648">
        <f t="shared" si="1"/>
        <v>194106.65508823295</v>
      </c>
      <c r="E24" s="707"/>
      <c r="F24" s="678"/>
    </row>
    <row r="25" spans="2:6" ht="14.25" thickTop="1" thickBot="1" x14ac:dyDescent="0.25">
      <c r="B25" s="704" t="s">
        <v>808</v>
      </c>
      <c r="C25" s="648">
        <f t="shared" si="0"/>
        <v>3882133.1017646585</v>
      </c>
      <c r="D25" s="648">
        <f t="shared" si="1"/>
        <v>194106.65508823295</v>
      </c>
      <c r="E25" s="707"/>
      <c r="F25" s="678"/>
    </row>
    <row r="26" spans="2:6" ht="14.25" thickTop="1" thickBot="1" x14ac:dyDescent="0.25">
      <c r="B26" s="706" t="s">
        <v>809</v>
      </c>
      <c r="C26" s="648">
        <f t="shared" si="0"/>
        <v>3882133.1017646585</v>
      </c>
      <c r="D26" s="648">
        <f t="shared" si="1"/>
        <v>194106.65508823295</v>
      </c>
      <c r="E26" s="707"/>
      <c r="F26" s="678"/>
    </row>
    <row r="27" spans="2:6" ht="14.25" thickTop="1" thickBot="1" x14ac:dyDescent="0.25">
      <c r="B27" s="706" t="s">
        <v>810</v>
      </c>
      <c r="C27" s="648">
        <f t="shared" si="0"/>
        <v>3882133.1017646585</v>
      </c>
      <c r="D27" s="648">
        <f t="shared" si="1"/>
        <v>194106.65508823295</v>
      </c>
      <c r="E27" s="707">
        <f>+SUM(D20:D27)</f>
        <v>1552853.2407058636</v>
      </c>
      <c r="F27" s="678"/>
    </row>
    <row r="28" spans="2:6" ht="14.25" thickTop="1" thickBot="1" x14ac:dyDescent="0.25">
      <c r="B28" s="706" t="s">
        <v>811</v>
      </c>
      <c r="C28" s="648">
        <f t="shared" si="0"/>
        <v>3882133.1017646585</v>
      </c>
      <c r="D28" s="648">
        <f t="shared" si="1"/>
        <v>194106.65508823295</v>
      </c>
      <c r="E28" s="707"/>
      <c r="F28" s="678"/>
    </row>
    <row r="29" spans="2:6" ht="14.25" thickTop="1" thickBot="1" x14ac:dyDescent="0.25">
      <c r="B29" s="704" t="s">
        <v>812</v>
      </c>
      <c r="C29" s="648">
        <f t="shared" si="0"/>
        <v>3882133.1017646585</v>
      </c>
      <c r="D29" s="648">
        <f t="shared" si="1"/>
        <v>194106.65508823295</v>
      </c>
      <c r="E29" s="707"/>
      <c r="F29" s="678"/>
    </row>
    <row r="30" spans="2:6" ht="14.25" thickTop="1" thickBot="1" x14ac:dyDescent="0.25">
      <c r="B30" s="704" t="s">
        <v>813</v>
      </c>
      <c r="C30" s="648">
        <f t="shared" si="0"/>
        <v>3882133.1017646585</v>
      </c>
      <c r="D30" s="648">
        <f t="shared" si="1"/>
        <v>194106.65508823295</v>
      </c>
      <c r="E30" s="707"/>
      <c r="F30" s="678"/>
    </row>
    <row r="31" spans="2:6" ht="14.25" thickTop="1" thickBot="1" x14ac:dyDescent="0.25">
      <c r="B31" s="704" t="s">
        <v>814</v>
      </c>
      <c r="C31" s="648">
        <f t="shared" si="0"/>
        <v>3882133.1017646585</v>
      </c>
      <c r="D31" s="648">
        <f t="shared" si="1"/>
        <v>194106.65508823295</v>
      </c>
      <c r="E31" s="707"/>
      <c r="F31" s="678"/>
    </row>
    <row r="32" spans="2:6" ht="14.25" thickTop="1" thickBot="1" x14ac:dyDescent="0.25">
      <c r="B32" s="704" t="s">
        <v>815</v>
      </c>
      <c r="C32" s="648">
        <f t="shared" si="0"/>
        <v>3882133.1017646585</v>
      </c>
      <c r="D32" s="648">
        <f t="shared" si="1"/>
        <v>194106.65508823295</v>
      </c>
      <c r="E32" s="707"/>
      <c r="F32" s="678"/>
    </row>
    <row r="33" spans="2:6" ht="14.25" thickTop="1" thickBot="1" x14ac:dyDescent="0.25">
      <c r="B33" s="704" t="s">
        <v>816</v>
      </c>
      <c r="C33" s="648">
        <f t="shared" si="0"/>
        <v>3882133.1017646585</v>
      </c>
      <c r="D33" s="648">
        <f t="shared" si="1"/>
        <v>194106.65508823295</v>
      </c>
      <c r="E33" s="707"/>
      <c r="F33" s="678"/>
    </row>
    <row r="34" spans="2:6" ht="14.25" thickTop="1" thickBot="1" x14ac:dyDescent="0.25">
      <c r="B34" s="706" t="s">
        <v>817</v>
      </c>
      <c r="C34" s="648">
        <f t="shared" si="0"/>
        <v>3882133.1017646585</v>
      </c>
      <c r="D34" s="648">
        <f t="shared" si="1"/>
        <v>194106.65508823295</v>
      </c>
      <c r="E34" s="707"/>
      <c r="F34" s="678"/>
    </row>
    <row r="35" spans="2:6" ht="14.25" thickTop="1" thickBot="1" x14ac:dyDescent="0.25">
      <c r="B35" s="706" t="s">
        <v>818</v>
      </c>
      <c r="C35" s="648">
        <f t="shared" si="0"/>
        <v>3882133.1017646585</v>
      </c>
      <c r="D35" s="648">
        <f t="shared" si="1"/>
        <v>194106.65508823295</v>
      </c>
      <c r="E35" s="707">
        <f>+SUM(D28:D35)</f>
        <v>1552853.2407058636</v>
      </c>
      <c r="F35" s="678"/>
    </row>
    <row r="36" spans="2:6" ht="14.25" thickTop="1" thickBot="1" x14ac:dyDescent="0.25">
      <c r="B36" s="706" t="s">
        <v>819</v>
      </c>
      <c r="C36" s="648">
        <f t="shared" si="0"/>
        <v>3882133.1017646585</v>
      </c>
      <c r="D36" s="648">
        <f t="shared" si="1"/>
        <v>194106.65508823295</v>
      </c>
      <c r="E36" s="707"/>
      <c r="F36" s="678"/>
    </row>
    <row r="37" spans="2:6" ht="14.25" thickTop="1" thickBot="1" x14ac:dyDescent="0.25">
      <c r="B37" s="704" t="s">
        <v>820</v>
      </c>
      <c r="C37" s="648">
        <f t="shared" si="0"/>
        <v>3882133.1017646585</v>
      </c>
      <c r="D37" s="648">
        <f t="shared" si="1"/>
        <v>194106.65508823295</v>
      </c>
      <c r="E37" s="707"/>
      <c r="F37" s="678"/>
    </row>
    <row r="38" spans="2:6" ht="14.25" thickTop="1" thickBot="1" x14ac:dyDescent="0.25">
      <c r="B38" s="704" t="s">
        <v>821</v>
      </c>
      <c r="C38" s="648">
        <f t="shared" si="0"/>
        <v>3882133.1017646585</v>
      </c>
      <c r="D38" s="648">
        <f t="shared" si="1"/>
        <v>194106.65508823295</v>
      </c>
      <c r="E38" s="707"/>
      <c r="F38" s="678"/>
    </row>
    <row r="39" spans="2:6" ht="14.25" thickTop="1" thickBot="1" x14ac:dyDescent="0.25">
      <c r="B39" s="704" t="s">
        <v>822</v>
      </c>
      <c r="C39" s="648">
        <f t="shared" si="0"/>
        <v>3882133.1017646585</v>
      </c>
      <c r="D39" s="648">
        <f t="shared" si="1"/>
        <v>194106.65508823295</v>
      </c>
      <c r="E39" s="707"/>
      <c r="F39" s="678"/>
    </row>
    <row r="40" spans="2:6" ht="14.25" thickTop="1" thickBot="1" x14ac:dyDescent="0.25">
      <c r="B40" s="704" t="s">
        <v>823</v>
      </c>
      <c r="C40" s="648">
        <f t="shared" si="0"/>
        <v>3882133.1017646585</v>
      </c>
      <c r="D40" s="648">
        <f t="shared" si="1"/>
        <v>194106.65508823295</v>
      </c>
      <c r="E40" s="707"/>
      <c r="F40" s="678"/>
    </row>
    <row r="41" spans="2:6" ht="14.25" thickTop="1" thickBot="1" x14ac:dyDescent="0.25">
      <c r="B41" s="704" t="s">
        <v>824</v>
      </c>
      <c r="C41" s="648">
        <f t="shared" si="0"/>
        <v>3882133.1017646585</v>
      </c>
      <c r="D41" s="648">
        <f t="shared" si="1"/>
        <v>194106.65508823295</v>
      </c>
      <c r="E41" s="707"/>
      <c r="F41" s="678"/>
    </row>
    <row r="42" spans="2:6" ht="14.25" thickTop="1" thickBot="1" x14ac:dyDescent="0.25">
      <c r="B42" s="706" t="s">
        <v>825</v>
      </c>
      <c r="C42" s="648">
        <f t="shared" si="0"/>
        <v>3882133.1017646585</v>
      </c>
      <c r="D42" s="648">
        <f t="shared" si="1"/>
        <v>194106.65508823295</v>
      </c>
      <c r="E42" s="707"/>
      <c r="F42" s="678"/>
    </row>
    <row r="43" spans="2:6" ht="14.25" thickTop="1" thickBot="1" x14ac:dyDescent="0.25">
      <c r="B43" s="706" t="s">
        <v>826</v>
      </c>
      <c r="C43" s="648">
        <f t="shared" si="0"/>
        <v>3882133.1017646585</v>
      </c>
      <c r="D43" s="648">
        <f t="shared" si="1"/>
        <v>194106.65508823295</v>
      </c>
      <c r="E43" s="707">
        <f>+SUM(D36:D43)</f>
        <v>1552853.2407058636</v>
      </c>
      <c r="F43" s="678"/>
    </row>
    <row r="44" spans="2:6" ht="14.25" thickTop="1" thickBot="1" x14ac:dyDescent="0.25">
      <c r="B44" s="706" t="s">
        <v>827</v>
      </c>
      <c r="C44" s="648">
        <f t="shared" si="0"/>
        <v>3882133.1017646585</v>
      </c>
      <c r="D44" s="648">
        <f t="shared" si="1"/>
        <v>194106.65508823295</v>
      </c>
      <c r="E44" s="707"/>
      <c r="F44" s="678"/>
    </row>
    <row r="45" spans="2:6" ht="14.25" thickTop="1" thickBot="1" x14ac:dyDescent="0.25">
      <c r="B45" s="704" t="s">
        <v>828</v>
      </c>
      <c r="C45" s="648">
        <f t="shared" si="0"/>
        <v>3882133.1017646585</v>
      </c>
      <c r="D45" s="648">
        <f t="shared" si="1"/>
        <v>194106.65508823295</v>
      </c>
      <c r="E45" s="707"/>
      <c r="F45" s="678"/>
    </row>
    <row r="46" spans="2:6" ht="14.25" thickTop="1" thickBot="1" x14ac:dyDescent="0.25">
      <c r="B46" s="704" t="s">
        <v>829</v>
      </c>
      <c r="C46" s="648">
        <f t="shared" si="0"/>
        <v>3882133.1017646585</v>
      </c>
      <c r="D46" s="648">
        <f t="shared" si="1"/>
        <v>194106.65508823295</v>
      </c>
      <c r="E46" s="707"/>
      <c r="F46" s="678"/>
    </row>
    <row r="47" spans="2:6" ht="14.25" thickTop="1" thickBot="1" x14ac:dyDescent="0.25">
      <c r="B47" s="704" t="s">
        <v>830</v>
      </c>
      <c r="C47" s="648">
        <f t="shared" si="0"/>
        <v>3882133.1017646585</v>
      </c>
      <c r="D47" s="648">
        <f t="shared" si="1"/>
        <v>194106.65508823295</v>
      </c>
      <c r="E47" s="707"/>
      <c r="F47" s="678"/>
    </row>
    <row r="48" spans="2:6" ht="14.25" thickTop="1" thickBot="1" x14ac:dyDescent="0.25">
      <c r="B48" s="704" t="s">
        <v>831</v>
      </c>
      <c r="C48" s="648">
        <f t="shared" si="0"/>
        <v>3882133.1017646585</v>
      </c>
      <c r="D48" s="648">
        <f t="shared" si="1"/>
        <v>194106.65508823295</v>
      </c>
      <c r="E48" s="707"/>
      <c r="F48" s="678"/>
    </row>
    <row r="49" spans="2:6" ht="14.25" thickTop="1" thickBot="1" x14ac:dyDescent="0.25">
      <c r="B49" s="704" t="s">
        <v>832</v>
      </c>
      <c r="C49" s="648">
        <f t="shared" si="0"/>
        <v>3882133.1017646585</v>
      </c>
      <c r="D49" s="648">
        <f t="shared" si="1"/>
        <v>194106.65508823295</v>
      </c>
      <c r="E49" s="707"/>
      <c r="F49" s="678"/>
    </row>
    <row r="50" spans="2:6" ht="14.25" thickTop="1" thickBot="1" x14ac:dyDescent="0.25">
      <c r="B50" s="706" t="s">
        <v>833</v>
      </c>
      <c r="C50" s="648">
        <f t="shared" si="0"/>
        <v>3882133.1017646585</v>
      </c>
      <c r="D50" s="648">
        <f t="shared" si="1"/>
        <v>194106.65508823295</v>
      </c>
      <c r="E50" s="707"/>
      <c r="F50" s="678"/>
    </row>
    <row r="51" spans="2:6" ht="14.25" thickTop="1" thickBot="1" x14ac:dyDescent="0.25">
      <c r="B51" s="708" t="s">
        <v>763</v>
      </c>
      <c r="C51" s="709">
        <f t="shared" si="0"/>
        <v>3882133.1017646585</v>
      </c>
      <c r="D51" s="709">
        <f t="shared" si="1"/>
        <v>194106.65508823295</v>
      </c>
      <c r="E51" s="710">
        <f>+SUM(D44:D51)</f>
        <v>1552853.2407058636</v>
      </c>
      <c r="F51" s="678"/>
    </row>
  </sheetData>
  <mergeCells count="3">
    <mergeCell ref="B1:D2"/>
    <mergeCell ref="B10:B11"/>
    <mergeCell ref="C10:C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8"/>
  <sheetViews>
    <sheetView zoomScale="85" zoomScaleNormal="85" workbookViewId="0">
      <selection activeCell="C22" sqref="C22"/>
    </sheetView>
  </sheetViews>
  <sheetFormatPr baseColWidth="10" defaultColWidth="11.5703125" defaultRowHeight="12.75" x14ac:dyDescent="0.2"/>
  <cols>
    <col min="1" max="1" width="15" customWidth="1"/>
    <col min="2" max="2" width="27" customWidth="1"/>
    <col min="3" max="3" width="30.28515625" customWidth="1"/>
    <col min="4" max="4" width="29.28515625" customWidth="1"/>
    <col min="5" max="5" width="29.5703125" customWidth="1"/>
    <col min="8" max="8" width="8.28515625" customWidth="1"/>
    <col min="9" max="9" width="22.28515625" customWidth="1"/>
  </cols>
  <sheetData>
    <row r="1" spans="1:11" ht="31.5" thickTop="1" thickBot="1" x14ac:dyDescent="0.25">
      <c r="A1" s="711" t="s">
        <v>631</v>
      </c>
      <c r="B1" s="712" t="s">
        <v>834</v>
      </c>
      <c r="C1" s="712" t="s">
        <v>835</v>
      </c>
      <c r="D1" s="712" t="s">
        <v>836</v>
      </c>
      <c r="E1" s="713" t="s">
        <v>837</v>
      </c>
      <c r="F1" s="122"/>
      <c r="G1" s="122"/>
      <c r="H1" s="122"/>
      <c r="I1" s="122"/>
      <c r="J1" s="122"/>
      <c r="K1" s="122"/>
    </row>
    <row r="2" spans="1:11" ht="15" x14ac:dyDescent="0.2">
      <c r="A2" s="714">
        <v>1</v>
      </c>
      <c r="B2" s="715">
        <f>+('F-Cred'!$G$21+'F-Cred'!$I$21)/3</f>
        <v>81199.098966333346</v>
      </c>
      <c r="C2" s="716">
        <f>+'Servicio de CNR'!G25</f>
        <v>531485.01141600008</v>
      </c>
      <c r="D2" s="716">
        <f>+'Servicio de CR'!E19</f>
        <v>1552853.2407058636</v>
      </c>
      <c r="E2" s="716">
        <f t="shared" ref="E2:E7" si="0">SUM(B2:D2)</f>
        <v>2165537.351088197</v>
      </c>
      <c r="F2" s="122"/>
      <c r="G2" s="122"/>
      <c r="H2" s="122"/>
      <c r="I2" s="122"/>
      <c r="J2" s="122"/>
      <c r="K2" s="122"/>
    </row>
    <row r="3" spans="1:11" ht="15" x14ac:dyDescent="0.2">
      <c r="A3" s="717">
        <v>2</v>
      </c>
      <c r="B3" s="718">
        <f>+('F-Cred'!$G$21+'F-Cred'!$I$21)/3</f>
        <v>81199.098966333346</v>
      </c>
      <c r="C3" s="719">
        <f>+'Servicio de CNR'!G27</f>
        <v>531485.01141600008</v>
      </c>
      <c r="D3" s="719">
        <f>+'Servicio de CR'!E27</f>
        <v>1552853.2407058636</v>
      </c>
      <c r="E3" s="719">
        <f t="shared" si="0"/>
        <v>2165537.351088197</v>
      </c>
      <c r="F3" s="122"/>
      <c r="G3" s="122"/>
      <c r="H3" s="122"/>
      <c r="I3" s="122"/>
      <c r="J3" s="122"/>
      <c r="K3" s="122"/>
    </row>
    <row r="4" spans="1:11" ht="15" x14ac:dyDescent="0.2">
      <c r="A4" s="717">
        <v>3</v>
      </c>
      <c r="B4" s="718">
        <f>+('F-Cred'!$G$21+'F-Cred'!$I$21)/3</f>
        <v>81199.098966333346</v>
      </c>
      <c r="C4" s="719">
        <f>+'Servicio de CNR'!G29</f>
        <v>398613.758562</v>
      </c>
      <c r="D4" s="719">
        <f>+'Servicio de CR'!E35</f>
        <v>1552853.2407058636</v>
      </c>
      <c r="E4" s="719">
        <f t="shared" si="0"/>
        <v>2032666.0982341969</v>
      </c>
      <c r="F4" s="122"/>
      <c r="G4" s="122"/>
      <c r="H4" s="122"/>
      <c r="I4" s="122"/>
      <c r="J4" s="122"/>
      <c r="K4" s="122"/>
    </row>
    <row r="5" spans="1:11" ht="15" x14ac:dyDescent="0.2">
      <c r="A5" s="717">
        <v>4</v>
      </c>
      <c r="B5" s="720"/>
      <c r="C5" s="719">
        <f>+'Servicio de CNR'!G31</f>
        <v>221452.08809000003</v>
      </c>
      <c r="D5" s="719">
        <f>+'Servicio de CR'!E43</f>
        <v>1552853.2407058636</v>
      </c>
      <c r="E5" s="719">
        <f t="shared" si="0"/>
        <v>1774305.3287958635</v>
      </c>
      <c r="F5" s="122"/>
      <c r="G5" s="122"/>
      <c r="H5" s="122"/>
      <c r="I5" s="122"/>
      <c r="J5" s="122"/>
      <c r="K5" s="122"/>
    </row>
    <row r="6" spans="1:11" ht="15.75" thickBot="1" x14ac:dyDescent="0.25">
      <c r="A6" s="721">
        <v>5</v>
      </c>
      <c r="B6" s="722"/>
      <c r="C6" s="723">
        <f>+'Servicio de CNR'!G32</f>
        <v>44290.417618000007</v>
      </c>
      <c r="D6" s="723">
        <f>+'Servicio de CR'!E51</f>
        <v>1552853.2407058636</v>
      </c>
      <c r="E6" s="723">
        <f t="shared" si="0"/>
        <v>1597143.6583238635</v>
      </c>
      <c r="F6" s="122"/>
      <c r="G6" s="122"/>
      <c r="H6" s="122"/>
      <c r="I6" s="122"/>
      <c r="J6" s="122"/>
      <c r="K6" s="122"/>
    </row>
    <row r="7" spans="1:11" ht="16.5" thickBot="1" x14ac:dyDescent="0.3">
      <c r="A7" s="724" t="s">
        <v>191</v>
      </c>
      <c r="B7" s="725">
        <f>SUM(B2:B6)</f>
        <v>243597.29689900004</v>
      </c>
      <c r="C7" s="725">
        <f>SUM(C2:C6)</f>
        <v>1727326.2871020001</v>
      </c>
      <c r="D7" s="725">
        <f>SUM(D2:D6)</f>
        <v>7764266.2035293179</v>
      </c>
      <c r="E7" s="726">
        <f t="shared" si="0"/>
        <v>9735189.7875303179</v>
      </c>
      <c r="F7" s="122"/>
      <c r="G7" s="1488" t="s">
        <v>303</v>
      </c>
      <c r="H7" s="1489"/>
      <c r="I7" s="728">
        <f>E7</f>
        <v>9735189.7875303179</v>
      </c>
      <c r="J7" s="122"/>
      <c r="K7" s="122"/>
    </row>
    <row r="8" spans="1:11" ht="15" x14ac:dyDescent="0.2">
      <c r="A8" s="122"/>
      <c r="B8" s="173"/>
      <c r="C8" s="122"/>
      <c r="D8" s="122"/>
      <c r="E8" s="122"/>
      <c r="F8" s="122"/>
      <c r="G8" s="122"/>
      <c r="H8" s="122"/>
      <c r="I8" s="122"/>
      <c r="J8" s="122"/>
      <c r="K8" s="122"/>
    </row>
    <row r="9" spans="1:11" ht="15" x14ac:dyDescent="0.2">
      <c r="A9" s="122"/>
      <c r="B9" s="173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5" x14ac:dyDescent="0.2">
      <c r="A10" s="122"/>
      <c r="B10" s="173"/>
      <c r="C10" s="122"/>
      <c r="D10" s="122"/>
      <c r="E10" s="122"/>
      <c r="F10" s="122"/>
      <c r="G10" s="122"/>
      <c r="H10" s="122"/>
      <c r="I10" s="122"/>
      <c r="J10" s="122"/>
      <c r="K10" s="122"/>
    </row>
    <row r="11" spans="1:11" ht="15" x14ac:dyDescent="0.2">
      <c r="A11" s="122"/>
      <c r="B11" s="173"/>
      <c r="C11" s="122"/>
      <c r="D11" s="122"/>
      <c r="E11" s="122"/>
      <c r="F11" s="122"/>
      <c r="G11" s="122"/>
      <c r="H11" s="122"/>
      <c r="I11" s="122"/>
      <c r="J11" s="122"/>
      <c r="K11" s="122"/>
    </row>
    <row r="12" spans="1:11" ht="15" x14ac:dyDescent="0.2">
      <c r="A12" s="122"/>
      <c r="B12" s="173"/>
      <c r="C12" s="122"/>
      <c r="D12" s="122"/>
      <c r="E12" s="122"/>
      <c r="F12" s="122"/>
      <c r="G12" s="122"/>
      <c r="H12" s="122"/>
      <c r="I12" s="122"/>
      <c r="J12" s="122"/>
      <c r="K12" s="122"/>
    </row>
    <row r="13" spans="1:11" ht="15" x14ac:dyDescent="0.2">
      <c r="A13" s="122"/>
      <c r="B13" s="173"/>
      <c r="C13" s="122"/>
      <c r="D13" s="122"/>
      <c r="E13" s="122"/>
      <c r="F13" s="122"/>
      <c r="G13" s="122"/>
      <c r="H13" s="122"/>
      <c r="I13" s="122"/>
      <c r="J13" s="122"/>
    </row>
    <row r="14" spans="1:11" ht="15" x14ac:dyDescent="0.2">
      <c r="A14" s="122"/>
      <c r="B14" s="173"/>
      <c r="C14" s="122"/>
      <c r="D14" s="122"/>
      <c r="E14" s="122"/>
      <c r="F14" s="122"/>
      <c r="G14" s="752"/>
      <c r="H14" s="122"/>
      <c r="I14" s="122"/>
      <c r="J14" s="122"/>
    </row>
    <row r="15" spans="1:11" ht="15" x14ac:dyDescent="0.2">
      <c r="A15" s="122"/>
      <c r="B15" s="173"/>
      <c r="C15" s="122"/>
      <c r="D15" s="122"/>
      <c r="E15" s="122"/>
      <c r="F15" s="122"/>
      <c r="G15" s="122"/>
      <c r="H15" s="122"/>
      <c r="I15" s="122"/>
      <c r="J15" s="122"/>
    </row>
    <row r="16" spans="1:11" ht="15" x14ac:dyDescent="0.2">
      <c r="A16" s="122"/>
      <c r="B16" s="173"/>
      <c r="C16" s="122"/>
      <c r="D16" s="122"/>
      <c r="E16" s="122"/>
      <c r="F16" s="122"/>
      <c r="G16" s="122"/>
      <c r="H16" s="122"/>
      <c r="I16" s="122"/>
      <c r="J16" s="122"/>
    </row>
    <row r="17" spans="1:10" ht="15" x14ac:dyDescent="0.2">
      <c r="A17" s="122"/>
      <c r="B17" s="173"/>
      <c r="C17" s="122"/>
      <c r="D17" s="122"/>
      <c r="E17" s="122"/>
      <c r="F17" s="122"/>
      <c r="G17" s="122"/>
      <c r="H17" s="122"/>
      <c r="I17" s="122"/>
      <c r="J17" s="122"/>
    </row>
    <row r="18" spans="1:10" ht="15" x14ac:dyDescent="0.2">
      <c r="A18" s="122"/>
      <c r="B18" s="173"/>
      <c r="C18" s="122"/>
      <c r="D18" s="122"/>
      <c r="E18" s="122"/>
      <c r="F18" s="122"/>
      <c r="G18" s="122"/>
      <c r="H18" s="122"/>
      <c r="I18" s="122"/>
      <c r="J18" s="122"/>
    </row>
  </sheetData>
  <mergeCells count="1">
    <mergeCell ref="G7:H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59"/>
  <sheetViews>
    <sheetView zoomScale="85" zoomScaleNormal="85" workbookViewId="0">
      <selection activeCell="M25" sqref="M25"/>
    </sheetView>
  </sheetViews>
  <sheetFormatPr baseColWidth="10" defaultColWidth="11.42578125" defaultRowHeight="12.75" x14ac:dyDescent="0.2"/>
  <cols>
    <col min="1" max="1" width="22.85546875" style="7" customWidth="1"/>
    <col min="2" max="2" width="22" style="7" customWidth="1"/>
    <col min="3" max="3" width="15.85546875" style="7" customWidth="1"/>
    <col min="4" max="5" width="13.5703125" style="7" customWidth="1"/>
    <col min="6" max="6" width="21.42578125" style="7" customWidth="1"/>
    <col min="7" max="7" width="17.85546875" style="7" customWidth="1"/>
    <col min="8" max="8" width="11.85546875" style="7" customWidth="1"/>
    <col min="9" max="9" width="12" style="7" customWidth="1"/>
    <col min="10" max="12" width="11.42578125" style="7"/>
    <col min="13" max="13" width="21.42578125" style="7" customWidth="1"/>
    <col min="14" max="16384" width="11.42578125" style="7"/>
  </cols>
  <sheetData>
    <row r="1" spans="1:14" ht="13.5" thickBot="1" x14ac:dyDescent="0.25">
      <c r="A1" s="1" t="s">
        <v>0</v>
      </c>
      <c r="B1"/>
      <c r="C1"/>
      <c r="D1"/>
      <c r="F1" s="14">
        <f>InfoInicial!E1</f>
        <v>8</v>
      </c>
      <c r="G1" s="2"/>
    </row>
    <row r="2" spans="1:14" ht="17.25" thickTop="1" thickBot="1" x14ac:dyDescent="0.3">
      <c r="A2" s="921" t="s">
        <v>244</v>
      </c>
      <c r="B2" s="922"/>
      <c r="C2" s="922"/>
      <c r="D2" s="922"/>
      <c r="E2" s="922"/>
      <c r="F2" s="922"/>
      <c r="G2" s="923"/>
      <c r="H2"/>
      <c r="I2"/>
      <c r="J2"/>
      <c r="K2"/>
      <c r="L2"/>
      <c r="M2"/>
      <c r="N2"/>
    </row>
    <row r="3" spans="1:14" ht="13.5" thickBot="1" x14ac:dyDescent="0.25">
      <c r="A3" s="924" t="s">
        <v>88</v>
      </c>
      <c r="B3" s="1490" t="s">
        <v>245</v>
      </c>
      <c r="C3" s="1491"/>
      <c r="D3" s="1491" t="s">
        <v>762</v>
      </c>
      <c r="E3" s="1491"/>
      <c r="F3" s="1492" t="s">
        <v>246</v>
      </c>
      <c r="G3" s="1493"/>
      <c r="H3"/>
      <c r="I3"/>
      <c r="J3"/>
      <c r="K3"/>
      <c r="L3"/>
      <c r="M3"/>
      <c r="N3"/>
    </row>
    <row r="4" spans="1:14" ht="13.5" thickBot="1" x14ac:dyDescent="0.25">
      <c r="A4" s="924" t="s">
        <v>74</v>
      </c>
      <c r="B4" s="928" t="s">
        <v>247</v>
      </c>
      <c r="C4" s="928" t="s">
        <v>248</v>
      </c>
      <c r="D4" s="928" t="s">
        <v>247</v>
      </c>
      <c r="E4" s="928" t="s">
        <v>248</v>
      </c>
      <c r="F4" s="928" t="s">
        <v>247</v>
      </c>
      <c r="G4" s="928" t="s">
        <v>248</v>
      </c>
      <c r="H4"/>
      <c r="I4" s="1096"/>
      <c r="J4"/>
      <c r="K4"/>
      <c r="L4"/>
      <c r="M4"/>
      <c r="N4"/>
    </row>
    <row r="5" spans="1:14" x14ac:dyDescent="0.2">
      <c r="A5" s="927" t="s">
        <v>249</v>
      </c>
      <c r="B5" s="929">
        <f>+'E-Cal Inv.'!I8</f>
        <v>8304453.3033750001</v>
      </c>
      <c r="C5" s="932">
        <f>+B5/B8</f>
        <v>0.44042662033052876</v>
      </c>
      <c r="D5" s="929">
        <f>'Servicio de CNR'!C6</f>
        <v>3321781.3213500003</v>
      </c>
      <c r="E5" s="936">
        <f>D5/$B$8</f>
        <v>0.1761706481322115</v>
      </c>
      <c r="F5" s="929">
        <f>B5-D5</f>
        <v>4982671.9820249993</v>
      </c>
      <c r="G5" s="936">
        <f>F5/$B$8</f>
        <v>0.2642559721983172</v>
      </c>
      <c r="H5"/>
      <c r="I5"/>
      <c r="J5"/>
      <c r="K5"/>
      <c r="L5"/>
      <c r="M5"/>
      <c r="N5"/>
    </row>
    <row r="6" spans="1:14" x14ac:dyDescent="0.2">
      <c r="A6" s="925" t="s">
        <v>250</v>
      </c>
      <c r="B6" s="930">
        <f>'E-Form'!C5+'E-Form'!C6+'E-Form'!C7</f>
        <v>7764475.0893679773</v>
      </c>
      <c r="C6" s="933">
        <f>+B6/B8</f>
        <v>0.41178887969195166</v>
      </c>
      <c r="D6" s="930">
        <f>'Servicio de CR'!C3</f>
        <v>3882133.1017646585</v>
      </c>
      <c r="E6" s="937">
        <f>D6/$B$8</f>
        <v>0.20588890071651147</v>
      </c>
      <c r="F6" s="930">
        <f>B6-D6</f>
        <v>3882341.9876033189</v>
      </c>
      <c r="G6" s="937">
        <f>F6/$B$8</f>
        <v>0.20589997897544018</v>
      </c>
      <c r="H6"/>
      <c r="I6"/>
      <c r="J6"/>
      <c r="K6"/>
      <c r="L6"/>
      <c r="M6"/>
      <c r="N6"/>
    </row>
    <row r="7" spans="1:14" x14ac:dyDescent="0.2">
      <c r="A7" s="925" t="s">
        <v>251</v>
      </c>
      <c r="B7" s="930">
        <f>+'E-Cal Inv.'!I23</f>
        <v>2786547.0032326868</v>
      </c>
      <c r="C7" s="933">
        <f>+B7/B8</f>
        <v>0.14778449997751958</v>
      </c>
      <c r="D7" s="930">
        <v>0</v>
      </c>
      <c r="E7" s="937"/>
      <c r="F7" s="930">
        <f>B7</f>
        <v>2786547.0032326868</v>
      </c>
      <c r="G7" s="937">
        <f>F7/$B$8</f>
        <v>0.14778449997751958</v>
      </c>
      <c r="H7"/>
      <c r="I7"/>
      <c r="J7"/>
      <c r="K7"/>
      <c r="L7"/>
      <c r="M7"/>
      <c r="N7"/>
    </row>
    <row r="8" spans="1:14" ht="13.5" thickBot="1" x14ac:dyDescent="0.25">
      <c r="A8" s="926" t="s">
        <v>191</v>
      </c>
      <c r="B8" s="931">
        <f t="shared" ref="B8:G8" si="0">SUM(B5:B7)</f>
        <v>18855475.395975664</v>
      </c>
      <c r="C8" s="934">
        <f t="shared" si="0"/>
        <v>1</v>
      </c>
      <c r="D8" s="935">
        <f t="shared" si="0"/>
        <v>7203914.4231146593</v>
      </c>
      <c r="E8" s="934">
        <f t="shared" si="0"/>
        <v>0.38205954884872295</v>
      </c>
      <c r="F8" s="935">
        <f t="shared" si="0"/>
        <v>11651560.972861007</v>
      </c>
      <c r="G8" s="934">
        <f t="shared" si="0"/>
        <v>0.61794045115127694</v>
      </c>
      <c r="H8"/>
      <c r="I8"/>
      <c r="J8"/>
      <c r="K8"/>
      <c r="L8"/>
      <c r="M8"/>
      <c r="N8"/>
    </row>
    <row r="9" spans="1:14" ht="13.5" thickBot="1" x14ac:dyDescent="0.25">
      <c r="A9" s="641"/>
      <c r="B9" s="642"/>
      <c r="C9" s="643"/>
      <c r="D9" s="642"/>
      <c r="E9" s="642"/>
      <c r="F9" s="642"/>
      <c r="G9" s="642"/>
      <c r="H9"/>
      <c r="I9"/>
      <c r="J9"/>
      <c r="K9"/>
      <c r="L9"/>
      <c r="M9"/>
      <c r="N9"/>
    </row>
    <row r="10" spans="1:14" ht="16.5" thickBot="1" x14ac:dyDescent="0.3">
      <c r="A10" s="943" t="s">
        <v>252</v>
      </c>
      <c r="B10" s="960"/>
      <c r="C10" s="968"/>
      <c r="D10" s="967"/>
      <c r="E10" s="944"/>
      <c r="F10" s="944"/>
      <c r="G10" s="944"/>
      <c r="H10" s="944"/>
      <c r="I10" s="945"/>
      <c r="J10"/>
      <c r="K10"/>
      <c r="L10"/>
      <c r="M10"/>
      <c r="N10"/>
    </row>
    <row r="11" spans="1:14" x14ac:dyDescent="0.2">
      <c r="A11" s="637" t="s">
        <v>253</v>
      </c>
      <c r="B11" s="637" t="s">
        <v>254</v>
      </c>
      <c r="C11" s="941" t="s">
        <v>255</v>
      </c>
      <c r="D11" s="974" t="s">
        <v>256</v>
      </c>
      <c r="E11" s="941" t="s">
        <v>255</v>
      </c>
      <c r="F11" s="941" t="s">
        <v>257</v>
      </c>
      <c r="G11" s="941" t="s">
        <v>256</v>
      </c>
      <c r="H11" s="941"/>
      <c r="I11" s="941" t="s">
        <v>258</v>
      </c>
      <c r="J11"/>
      <c r="K11"/>
      <c r="L11"/>
      <c r="M11"/>
      <c r="N11"/>
    </row>
    <row r="12" spans="1:14" ht="13.5" thickBot="1" x14ac:dyDescent="0.25">
      <c r="A12" s="952"/>
      <c r="B12" s="952"/>
      <c r="C12" s="942" t="s">
        <v>259</v>
      </c>
      <c r="D12" s="975" t="s">
        <v>259</v>
      </c>
      <c r="E12" s="942" t="s">
        <v>35</v>
      </c>
      <c r="F12" s="942" t="s">
        <v>260</v>
      </c>
      <c r="G12" s="942" t="s">
        <v>35</v>
      </c>
      <c r="H12" s="942" t="s">
        <v>261</v>
      </c>
      <c r="I12" s="942" t="s">
        <v>262</v>
      </c>
      <c r="J12"/>
      <c r="K12"/>
      <c r="L12"/>
      <c r="M12"/>
      <c r="N12"/>
    </row>
    <row r="13" spans="1:14" x14ac:dyDescent="0.2">
      <c r="A13" s="946" t="str">
        <f>+'Servicio de CNR'!B14</f>
        <v>1/6/-1</v>
      </c>
      <c r="B13" s="961">
        <f>+'Servicio de CNR'!C14</f>
        <v>1107260.4404500001</v>
      </c>
      <c r="C13" s="956"/>
      <c r="D13" s="947">
        <f>+'Servicio de CNR'!E14</f>
        <v>0</v>
      </c>
      <c r="E13" s="956"/>
      <c r="F13" s="969"/>
      <c r="G13" s="956"/>
      <c r="H13" s="979"/>
      <c r="I13" s="956">
        <f>+'Servicio de CNR'!H14</f>
        <v>22145.208809000003</v>
      </c>
      <c r="J13"/>
      <c r="K13"/>
      <c r="L13"/>
      <c r="M13"/>
      <c r="N13"/>
    </row>
    <row r="14" spans="1:14" x14ac:dyDescent="0.2">
      <c r="A14" s="948" t="str">
        <f>+'Servicio de CNR'!B15</f>
        <v>1/9/-1</v>
      </c>
      <c r="B14" s="962">
        <f>+'Servicio de CNR'!C15</f>
        <v>2214520.8809000002</v>
      </c>
      <c r="C14" s="957"/>
      <c r="D14" s="940">
        <f>+'Servicio de CNR'!E15</f>
        <v>44290.417618000007</v>
      </c>
      <c r="E14" s="957"/>
      <c r="F14" s="970"/>
      <c r="G14" s="957"/>
      <c r="H14" s="980"/>
      <c r="I14" s="957">
        <f>+'Servicio de CNR'!H15</f>
        <v>22145.208809000003</v>
      </c>
      <c r="J14"/>
      <c r="K14"/>
      <c r="L14"/>
      <c r="M14"/>
      <c r="N14"/>
    </row>
    <row r="15" spans="1:14" x14ac:dyDescent="0.2">
      <c r="A15" s="948" t="str">
        <f>+'Servicio de CNR'!B16</f>
        <v>1/12/-1</v>
      </c>
      <c r="B15" s="962">
        <f>+'Servicio de CNR'!C16</f>
        <v>3321781.3213500003</v>
      </c>
      <c r="C15" s="957"/>
      <c r="D15" s="940">
        <f>+'Servicio de CNR'!E16</f>
        <v>88580.835236000014</v>
      </c>
      <c r="E15" s="957"/>
      <c r="F15" s="970"/>
      <c r="G15" s="957"/>
      <c r="H15" s="980"/>
      <c r="I15" s="957">
        <f>+'Servicio de CNR'!H16</f>
        <v>22145.208809000003</v>
      </c>
      <c r="J15"/>
      <c r="K15"/>
      <c r="L15"/>
      <c r="M15"/>
      <c r="N15"/>
    </row>
    <row r="16" spans="1:14" x14ac:dyDescent="0.2">
      <c r="A16" s="948" t="str">
        <f>+'Servicio de CNR'!B17</f>
        <v>31/12/-1</v>
      </c>
      <c r="B16" s="962">
        <f>+'Servicio de CNR'!C17</f>
        <v>3321781.3213500003</v>
      </c>
      <c r="C16" s="957"/>
      <c r="D16" s="940">
        <f>+'Servicio de CNR'!E17</f>
        <v>44290.417618000007</v>
      </c>
      <c r="E16" s="957"/>
      <c r="F16" s="970"/>
      <c r="G16" s="957">
        <f>+SUM(D14:D16)</f>
        <v>177161.67047200003</v>
      </c>
      <c r="H16" s="980"/>
      <c r="I16" s="957"/>
      <c r="J16"/>
      <c r="K16"/>
      <c r="L16"/>
      <c r="M16"/>
      <c r="N16"/>
    </row>
    <row r="17" spans="1:14" x14ac:dyDescent="0.2">
      <c r="A17" s="953"/>
      <c r="B17" s="963"/>
      <c r="C17" s="929"/>
      <c r="D17" s="938"/>
      <c r="E17" s="929"/>
      <c r="F17" s="971"/>
      <c r="G17" s="929"/>
      <c r="H17" s="981"/>
      <c r="I17" s="929"/>
      <c r="J17"/>
      <c r="K17"/>
      <c r="L17"/>
      <c r="M17"/>
      <c r="N17"/>
    </row>
    <row r="18" spans="1:14" x14ac:dyDescent="0.2">
      <c r="A18" s="954"/>
      <c r="B18" s="964"/>
      <c r="C18" s="930"/>
      <c r="D18" s="939"/>
      <c r="E18" s="930"/>
      <c r="F18" s="972"/>
      <c r="G18" s="930"/>
      <c r="H18" s="982"/>
      <c r="I18" s="930"/>
      <c r="J18"/>
      <c r="K18"/>
      <c r="L18"/>
      <c r="M18"/>
      <c r="N18"/>
    </row>
    <row r="19" spans="1:14" x14ac:dyDescent="0.2">
      <c r="A19" s="954"/>
      <c r="B19" s="964"/>
      <c r="C19" s="930"/>
      <c r="D19" s="939"/>
      <c r="E19" s="930"/>
      <c r="F19" s="972"/>
      <c r="G19" s="930"/>
      <c r="H19" s="982"/>
      <c r="I19" s="930"/>
      <c r="J19"/>
      <c r="K19"/>
      <c r="L19"/>
      <c r="M19"/>
      <c r="N19"/>
    </row>
    <row r="20" spans="1:14" ht="13.5" thickBot="1" x14ac:dyDescent="0.25">
      <c r="A20" s="955"/>
      <c r="B20" s="965"/>
      <c r="C20" s="958"/>
      <c r="D20" s="976"/>
      <c r="E20" s="958"/>
      <c r="F20" s="973"/>
      <c r="G20" s="958"/>
      <c r="H20" s="983"/>
      <c r="I20" s="958"/>
      <c r="J20"/>
      <c r="K20"/>
      <c r="L20"/>
      <c r="M20"/>
      <c r="N20"/>
    </row>
    <row r="21" spans="1:14" ht="13.5" thickBot="1" x14ac:dyDescent="0.25">
      <c r="A21" s="949" t="s">
        <v>263</v>
      </c>
      <c r="B21" s="966"/>
      <c r="C21" s="959"/>
      <c r="D21" s="950">
        <f>+'Servicio de CNR'!E22</f>
        <v>177161.67047200003</v>
      </c>
      <c r="E21" s="959"/>
      <c r="F21" s="959"/>
      <c r="G21" s="959">
        <f>+'Servicio de CNR'!G22</f>
        <v>177161.67047200003</v>
      </c>
      <c r="H21" s="959"/>
      <c r="I21" s="951">
        <f>+'Servicio de CNR'!H22</f>
        <v>66435.62642700001</v>
      </c>
      <c r="J21"/>
      <c r="K21"/>
      <c r="L21"/>
      <c r="M21"/>
      <c r="N21"/>
    </row>
    <row r="22" spans="1:14" x14ac:dyDescent="0.2">
      <c r="A22" s="989" t="str">
        <f>+'Servicio de CNR'!B23</f>
        <v>1/1/1</v>
      </c>
      <c r="B22" s="956">
        <f>+'Servicio de CNR'!C23+'Servicio de CR'!C12</f>
        <v>7203914.4231146593</v>
      </c>
      <c r="C22" s="956">
        <f>+'Servicio de CNR'!D23</f>
        <v>0</v>
      </c>
      <c r="D22" s="940"/>
      <c r="E22" s="957">
        <f>+'Servicio de CNR'!F23</f>
        <v>0</v>
      </c>
      <c r="F22" s="970"/>
      <c r="G22" s="957">
        <f>+'Servicio de CNR'!G23</f>
        <v>0</v>
      </c>
      <c r="H22" s="980"/>
      <c r="I22" s="977"/>
      <c r="J22"/>
      <c r="K22"/>
      <c r="L22"/>
      <c r="M22"/>
      <c r="N22"/>
    </row>
    <row r="23" spans="1:14" x14ac:dyDescent="0.2">
      <c r="A23" s="990" t="str">
        <f>+'Servicio de CNR'!B24</f>
        <v>30/6/1</v>
      </c>
      <c r="B23" s="957">
        <f>+'Servicio de CNR'!C24+'Servicio de CR'!$C$3</f>
        <v>7203914.4231146593</v>
      </c>
      <c r="C23" s="957">
        <f>+'Servicio de CNR'!D24</f>
        <v>0</v>
      </c>
      <c r="D23" s="940"/>
      <c r="E23" s="957">
        <f>+'Servicio de CNR'!F24</f>
        <v>0</v>
      </c>
      <c r="F23" s="970"/>
      <c r="G23" s="957">
        <f>+'Servicio de CNR'!G24</f>
        <v>0</v>
      </c>
      <c r="H23" s="980"/>
      <c r="I23" s="978"/>
      <c r="J23"/>
      <c r="K23"/>
      <c r="L23"/>
      <c r="M23"/>
      <c r="N23"/>
    </row>
    <row r="24" spans="1:14" x14ac:dyDescent="0.2">
      <c r="A24" s="990" t="str">
        <f>+'Servicio de CNR'!B25</f>
        <v>31/12/1</v>
      </c>
      <c r="B24" s="957">
        <f>+'Servicio de CNR'!C25+'Servicio de CR'!$C$3</f>
        <v>7203914.4231146593</v>
      </c>
      <c r="C24" s="957">
        <f>+'Servicio de CNR'!D25</f>
        <v>0</v>
      </c>
      <c r="D24" s="940"/>
      <c r="E24" s="957">
        <f>+'Servicio de CNR'!F25</f>
        <v>0</v>
      </c>
      <c r="F24" s="957">
        <f>+(B24+B22)/2</f>
        <v>7203914.4231146593</v>
      </c>
      <c r="G24" s="957">
        <f>+'Servicio de CNR'!G25+'Servicio de CR'!E19</f>
        <v>2084338.2521218637</v>
      </c>
      <c r="H24" s="995">
        <f>+G24/F24</f>
        <v>0.28933412165946948</v>
      </c>
      <c r="I24" s="978"/>
      <c r="J24"/>
      <c r="K24"/>
      <c r="L24"/>
      <c r="M24"/>
      <c r="N24"/>
    </row>
    <row r="25" spans="1:14" x14ac:dyDescent="0.2">
      <c r="A25" s="990" t="str">
        <f>+'Servicio de CNR'!B26</f>
        <v>30/6/2</v>
      </c>
      <c r="B25" s="957">
        <f>+'Servicio de CNR'!C26+'Servicio de CR'!$C$3</f>
        <v>7203914.4231146593</v>
      </c>
      <c r="C25" s="957">
        <f>+'Servicio de CNR'!D26</f>
        <v>0</v>
      </c>
      <c r="D25" s="940"/>
      <c r="E25" s="957">
        <f>+'Servicio de CNR'!F26</f>
        <v>0</v>
      </c>
      <c r="F25" s="957"/>
      <c r="G25" s="957">
        <f>+'Servicio de CNR'!G26</f>
        <v>0</v>
      </c>
      <c r="H25" s="995"/>
      <c r="I25" s="978"/>
      <c r="J25"/>
      <c r="K25"/>
      <c r="L25"/>
      <c r="M25"/>
      <c r="N25"/>
    </row>
    <row r="26" spans="1:14" x14ac:dyDescent="0.2">
      <c r="A26" s="990" t="str">
        <f>+'Servicio de CNR'!B27</f>
        <v>31/12/2</v>
      </c>
      <c r="B26" s="957">
        <f>+'Servicio de CNR'!C27+'Servicio de CR'!$C$3</f>
        <v>6650284.2028896585</v>
      </c>
      <c r="C26" s="957">
        <f>+'Servicio de CNR'!D27</f>
        <v>553630.22022500006</v>
      </c>
      <c r="D26" s="940"/>
      <c r="E26" s="957">
        <f>+'Servicio de CNR'!F27</f>
        <v>553630.22022500006</v>
      </c>
      <c r="F26" s="957">
        <f>+(B26+B24)/2</f>
        <v>6927099.3130021589</v>
      </c>
      <c r="G26" s="957">
        <f>+'Servicio de CNR'!G27+'Servicio de CR'!E27</f>
        <v>2084338.2521218637</v>
      </c>
      <c r="H26" s="995">
        <f>+G26/F26</f>
        <v>0.30089625656291125</v>
      </c>
      <c r="I26" s="978"/>
      <c r="J26"/>
      <c r="K26"/>
      <c r="L26"/>
      <c r="M26"/>
      <c r="N26"/>
    </row>
    <row r="27" spans="1:14" x14ac:dyDescent="0.2">
      <c r="A27" s="990" t="str">
        <f>+'Servicio de CNR'!B28</f>
        <v>30/6/3</v>
      </c>
      <c r="B27" s="957">
        <f>+'Servicio de CNR'!C28+'Servicio de CR'!$C$3</f>
        <v>6096653.9826646587</v>
      </c>
      <c r="C27" s="957">
        <f>+'Servicio de CNR'!D28</f>
        <v>553630.22022500006</v>
      </c>
      <c r="D27" s="940"/>
      <c r="E27" s="957">
        <f>+'Servicio de CNR'!F28</f>
        <v>0</v>
      </c>
      <c r="F27" s="957"/>
      <c r="G27" s="957">
        <f>+'Servicio de CNR'!G28</f>
        <v>0</v>
      </c>
      <c r="H27" s="995"/>
      <c r="I27" s="978"/>
      <c r="J27"/>
      <c r="K27"/>
      <c r="L27"/>
      <c r="M27"/>
      <c r="N27"/>
    </row>
    <row r="28" spans="1:14" x14ac:dyDescent="0.2">
      <c r="A28" s="990" t="str">
        <f>+'Servicio de CNR'!B29</f>
        <v>31/12/3</v>
      </c>
      <c r="B28" s="957">
        <f>+'Servicio de CNR'!C29+'Servicio de CR'!$C$3</f>
        <v>5543023.7624396589</v>
      </c>
      <c r="C28" s="957">
        <f>+'Servicio de CNR'!D29</f>
        <v>553630.22022500006</v>
      </c>
      <c r="D28" s="940"/>
      <c r="E28" s="957">
        <f>+'Servicio de CNR'!F29</f>
        <v>1107260.4404500001</v>
      </c>
      <c r="F28" s="957">
        <f>+(B28+B26)/2</f>
        <v>6096653.9826646587</v>
      </c>
      <c r="G28" s="957">
        <f>+'Servicio de CNR'!G29+'Servicio de CR'!E35</f>
        <v>1951466.9992678636</v>
      </c>
      <c r="H28" s="995">
        <f>+G28/F28</f>
        <v>0.32008819998915827</v>
      </c>
      <c r="I28" s="978"/>
      <c r="J28"/>
      <c r="K28"/>
      <c r="L28"/>
      <c r="M28"/>
      <c r="N28"/>
    </row>
    <row r="29" spans="1:14" x14ac:dyDescent="0.2">
      <c r="A29" s="990" t="str">
        <f>+'Servicio de CNR'!B30</f>
        <v>30/6/4</v>
      </c>
      <c r="B29" s="957">
        <f>+'Servicio de CNR'!C30+'Servicio de CR'!$C$3</f>
        <v>4989393.5422146581</v>
      </c>
      <c r="C29" s="957">
        <f>+'Servicio de CNR'!D30</f>
        <v>553630.22022500006</v>
      </c>
      <c r="D29" s="940"/>
      <c r="E29" s="957">
        <f>+'Servicio de CNR'!F30</f>
        <v>0</v>
      </c>
      <c r="F29" s="957"/>
      <c r="G29" s="957">
        <f>+'Servicio de CNR'!G30</f>
        <v>0</v>
      </c>
      <c r="H29" s="995"/>
      <c r="I29" s="978"/>
      <c r="J29"/>
      <c r="K29"/>
      <c r="L29"/>
      <c r="M29"/>
      <c r="N29"/>
    </row>
    <row r="30" spans="1:14" x14ac:dyDescent="0.2">
      <c r="A30" s="990" t="str">
        <f>+'Servicio de CNR'!B31</f>
        <v>31/12/4</v>
      </c>
      <c r="B30" s="957">
        <f>+'Servicio de CNR'!C31+'Servicio de CR'!$C$3</f>
        <v>4435763.3219896583</v>
      </c>
      <c r="C30" s="957">
        <f>+'Servicio de CNR'!D31</f>
        <v>553630.22022500006</v>
      </c>
      <c r="D30" s="940"/>
      <c r="E30" s="957">
        <f>+'Servicio de CNR'!F31</f>
        <v>1107260.4404500001</v>
      </c>
      <c r="F30" s="957">
        <f>+(B30+B28)/2</f>
        <v>4989393.5422146581</v>
      </c>
      <c r="G30" s="957">
        <f>+'Servicio de CNR'!G31+'Servicio de CR'!E43</f>
        <v>1774305.3287958635</v>
      </c>
      <c r="H30" s="995">
        <f>+G30/F30</f>
        <v>0.35561542976790261</v>
      </c>
      <c r="I30" s="978"/>
      <c r="J30"/>
      <c r="K30"/>
      <c r="L30"/>
      <c r="M30"/>
      <c r="N30"/>
    </row>
    <row r="31" spans="1:14" x14ac:dyDescent="0.2">
      <c r="A31" s="990" t="str">
        <f>+'Servicio de CNR'!B32</f>
        <v>30/6/5</v>
      </c>
      <c r="B31" s="957">
        <f>+'Servicio de CNR'!C32</f>
        <v>0</v>
      </c>
      <c r="C31" s="957">
        <f>+'Servicio de CNR'!D32</f>
        <v>553630.22022500006</v>
      </c>
      <c r="D31" s="940"/>
      <c r="E31" s="957">
        <f>+'Servicio de CNR'!F32</f>
        <v>553630.22022500006</v>
      </c>
      <c r="F31" s="957"/>
      <c r="G31" s="957"/>
      <c r="H31" s="995"/>
      <c r="I31" s="978"/>
      <c r="J31"/>
      <c r="K31"/>
      <c r="L31"/>
      <c r="M31"/>
      <c r="N31"/>
    </row>
    <row r="32" spans="1:14" ht="13.5" thickBot="1" x14ac:dyDescent="0.25">
      <c r="A32" s="991" t="s">
        <v>763</v>
      </c>
      <c r="B32" s="992">
        <f>+'Servicio de CR'!C51</f>
        <v>3882133.1017646585</v>
      </c>
      <c r="C32" s="992"/>
      <c r="D32" s="940"/>
      <c r="E32" s="957"/>
      <c r="F32" s="992">
        <f>+(B32+B30)/2</f>
        <v>4158948.2118771584</v>
      </c>
      <c r="G32" s="992">
        <f>+'Servicio de CR'!E51+'Servicio de CNR'!G32</f>
        <v>1597143.6583238635</v>
      </c>
      <c r="H32" s="995">
        <f>+G32/F32</f>
        <v>0.38402585869252415</v>
      </c>
      <c r="I32" s="984"/>
      <c r="J32"/>
      <c r="K32"/>
      <c r="L32"/>
      <c r="M32"/>
      <c r="N32"/>
    </row>
    <row r="33" spans="1:14" ht="16.5" thickBot="1" x14ac:dyDescent="0.3">
      <c r="A33" s="638" t="s">
        <v>264</v>
      </c>
      <c r="B33" s="985"/>
      <c r="C33" s="986">
        <f>+'Servicio de CNR'!D33</f>
        <v>3321781.3213499999</v>
      </c>
      <c r="D33" s="987">
        <f>+'Servicio de CNR'!E33</f>
        <v>1727326.2871020003</v>
      </c>
      <c r="E33" s="986">
        <f>+'Servicio de CNR'!F33</f>
        <v>3321781.3213499999</v>
      </c>
      <c r="F33" s="993"/>
      <c r="G33" s="986">
        <f>SUM(G21:G32)</f>
        <v>9668754.1611033175</v>
      </c>
      <c r="H33" s="988"/>
      <c r="I33" s="994">
        <f>+'Servicio de CNR'!H33</f>
        <v>66435.62642700001</v>
      </c>
      <c r="J33"/>
      <c r="K33" s="1494" t="s">
        <v>303</v>
      </c>
      <c r="L33" s="1495"/>
      <c r="M33" s="660">
        <f>G33+I33</f>
        <v>9735189.7875303179</v>
      </c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 s="13"/>
      <c r="B37" s="13"/>
      <c r="C37" s="13"/>
      <c r="D37" s="13"/>
      <c r="E37" s="13"/>
      <c r="F37" s="13"/>
      <c r="G37" s="13"/>
      <c r="H37" s="13"/>
      <c r="I37" s="13"/>
      <c r="J37" s="13"/>
      <c r="K37"/>
      <c r="L37"/>
      <c r="M37"/>
      <c r="N37"/>
    </row>
    <row r="38" spans="1:14" x14ac:dyDescent="0.2">
      <c r="A38" s="661"/>
      <c r="B38" s="662"/>
      <c r="C38" s="662"/>
      <c r="D38" s="662"/>
      <c r="E38" s="662"/>
      <c r="F38" s="662"/>
      <c r="G38" s="662"/>
      <c r="H38" s="663"/>
      <c r="I38" s="662"/>
      <c r="J38" s="55"/>
    </row>
    <row r="39" spans="1:14" x14ac:dyDescent="0.2">
      <c r="A39" s="661"/>
      <c r="B39" s="662"/>
      <c r="C39" s="662"/>
      <c r="D39" s="662"/>
      <c r="E39" s="662"/>
      <c r="F39" s="664"/>
      <c r="G39" s="662"/>
      <c r="H39" s="665"/>
      <c r="I39" s="662"/>
      <c r="J39" s="55"/>
    </row>
    <row r="40" spans="1:14" x14ac:dyDescent="0.2">
      <c r="A40" s="661"/>
      <c r="B40" s="662"/>
      <c r="C40" s="662"/>
      <c r="D40" s="662"/>
      <c r="E40" s="662"/>
      <c r="F40" s="662"/>
      <c r="G40" s="662"/>
      <c r="H40" s="663"/>
      <c r="I40" s="662"/>
      <c r="J40" s="55"/>
    </row>
    <row r="41" spans="1:14" x14ac:dyDescent="0.2">
      <c r="A41" s="661"/>
      <c r="B41" s="662"/>
      <c r="C41" s="662"/>
      <c r="D41" s="662"/>
      <c r="E41" s="662"/>
      <c r="F41" s="664"/>
      <c r="G41" s="662"/>
      <c r="H41" s="665"/>
      <c r="I41" s="662"/>
      <c r="J41" s="55"/>
    </row>
    <row r="42" spans="1:14" x14ac:dyDescent="0.2">
      <c r="A42" s="661"/>
      <c r="B42" s="662"/>
      <c r="C42" s="662"/>
      <c r="D42" s="662"/>
      <c r="E42" s="662"/>
      <c r="F42" s="662"/>
      <c r="G42" s="662"/>
      <c r="H42" s="663"/>
      <c r="I42" s="662"/>
      <c r="J42" s="55"/>
    </row>
    <row r="43" spans="1:14" x14ac:dyDescent="0.2">
      <c r="A43" s="661"/>
      <c r="B43" s="662"/>
      <c r="C43" s="662"/>
      <c r="D43" s="662"/>
      <c r="E43" s="662"/>
      <c r="F43" s="664"/>
      <c r="G43" s="662"/>
      <c r="H43" s="665"/>
      <c r="I43" s="662"/>
      <c r="J43" s="55"/>
    </row>
    <row r="44" spans="1:14" x14ac:dyDescent="0.2">
      <c r="A44" s="661"/>
      <c r="B44" s="662"/>
      <c r="C44" s="662"/>
      <c r="D44" s="662"/>
      <c r="E44" s="662"/>
      <c r="F44" s="662"/>
      <c r="G44" s="662"/>
      <c r="H44" s="663"/>
      <c r="I44" s="662"/>
      <c r="J44" s="55"/>
    </row>
    <row r="45" spans="1:14" x14ac:dyDescent="0.2">
      <c r="A45" s="661"/>
      <c r="B45" s="662"/>
      <c r="C45" s="662"/>
      <c r="D45" s="662"/>
      <c r="E45" s="662"/>
      <c r="F45" s="664"/>
      <c r="G45" s="662"/>
      <c r="H45" s="665"/>
      <c r="I45" s="662"/>
      <c r="J45" s="55"/>
    </row>
    <row r="46" spans="1:14" x14ac:dyDescent="0.2">
      <c r="A46" s="661"/>
      <c r="B46" s="662"/>
      <c r="C46" s="662"/>
      <c r="D46" s="662"/>
      <c r="E46" s="662"/>
      <c r="F46" s="662"/>
      <c r="G46" s="662"/>
      <c r="H46" s="663"/>
      <c r="I46" s="662"/>
      <c r="J46" s="55"/>
    </row>
    <row r="47" spans="1:14" x14ac:dyDescent="0.2">
      <c r="A47" s="661"/>
      <c r="B47" s="662"/>
      <c r="C47" s="662"/>
      <c r="D47" s="662"/>
      <c r="E47" s="662"/>
      <c r="F47" s="664"/>
      <c r="G47" s="662"/>
      <c r="H47" s="665"/>
      <c r="I47" s="662"/>
      <c r="J47" s="55"/>
    </row>
    <row r="48" spans="1:14" x14ac:dyDescent="0.2">
      <c r="A48" s="661"/>
      <c r="B48" s="662"/>
      <c r="C48" s="662"/>
      <c r="D48" s="662"/>
      <c r="E48" s="662"/>
      <c r="F48" s="662"/>
      <c r="G48" s="662"/>
      <c r="H48" s="663"/>
      <c r="I48" s="662"/>
      <c r="J48" s="55"/>
    </row>
    <row r="49" spans="1:10" x14ac:dyDescent="0.2">
      <c r="A49" s="661"/>
      <c r="B49" s="662"/>
      <c r="C49" s="662"/>
      <c r="D49" s="662"/>
      <c r="E49" s="662"/>
      <c r="F49" s="664"/>
      <c r="G49" s="662"/>
      <c r="H49" s="665"/>
      <c r="I49" s="662"/>
      <c r="J49" s="55"/>
    </row>
    <row r="50" spans="1:10" x14ac:dyDescent="0.2">
      <c r="A50" s="661"/>
      <c r="B50" s="662"/>
      <c r="C50" s="662"/>
      <c r="D50" s="662"/>
      <c r="E50" s="662"/>
      <c r="F50" s="662"/>
      <c r="G50" s="662"/>
      <c r="H50" s="663"/>
      <c r="I50" s="662"/>
      <c r="J50" s="55"/>
    </row>
    <row r="51" spans="1:10" x14ac:dyDescent="0.2">
      <c r="A51" s="661"/>
      <c r="B51" s="662"/>
      <c r="C51" s="662"/>
      <c r="D51" s="662"/>
      <c r="E51" s="662"/>
      <c r="F51" s="664"/>
      <c r="G51" s="662"/>
      <c r="H51" s="665"/>
      <c r="I51" s="662"/>
      <c r="J51" s="55"/>
    </row>
    <row r="52" spans="1:10" x14ac:dyDescent="0.2">
      <c r="A52" s="661"/>
      <c r="B52" s="662"/>
      <c r="C52" s="662"/>
      <c r="D52" s="662"/>
      <c r="E52" s="662"/>
      <c r="F52" s="662"/>
      <c r="G52" s="662"/>
      <c r="H52" s="663"/>
      <c r="I52" s="662"/>
      <c r="J52" s="55"/>
    </row>
    <row r="53" spans="1:10" x14ac:dyDescent="0.2">
      <c r="A53" s="666"/>
      <c r="B53" s="662"/>
      <c r="C53" s="662"/>
      <c r="D53" s="662"/>
      <c r="E53" s="662"/>
      <c r="F53" s="664"/>
      <c r="G53" s="662"/>
      <c r="H53" s="665"/>
      <c r="I53" s="662"/>
      <c r="J53" s="55"/>
    </row>
    <row r="54" spans="1:10" x14ac:dyDescent="0.2">
      <c r="A54" s="667"/>
      <c r="B54" s="668"/>
      <c r="C54" s="668"/>
      <c r="D54" s="668"/>
      <c r="E54" s="668"/>
      <c r="F54" s="15"/>
      <c r="G54" s="668"/>
      <c r="H54" s="669"/>
      <c r="I54" s="668"/>
      <c r="J54" s="55"/>
    </row>
    <row r="55" spans="1:10" x14ac:dyDescent="0.2">
      <c r="A55" s="55"/>
      <c r="B55" s="55"/>
      <c r="C55" s="55"/>
      <c r="D55" s="55"/>
      <c r="E55" s="55"/>
      <c r="F55" s="55"/>
      <c r="G55" s="55"/>
      <c r="H55" s="55"/>
      <c r="I55" s="55"/>
      <c r="J55" s="55"/>
    </row>
    <row r="56" spans="1:10" x14ac:dyDescent="0.2">
      <c r="A56" s="55"/>
      <c r="B56" s="55"/>
      <c r="C56" s="55"/>
      <c r="D56" s="55"/>
      <c r="E56" s="55"/>
      <c r="F56" s="55"/>
      <c r="G56" s="55"/>
      <c r="H56" s="55"/>
      <c r="I56" s="55"/>
      <c r="J56" s="55"/>
    </row>
    <row r="57" spans="1:10" x14ac:dyDescent="0.2">
      <c r="A57" s="55"/>
      <c r="B57" s="55"/>
      <c r="C57" s="55"/>
      <c r="D57" s="55"/>
      <c r="E57" s="55"/>
      <c r="F57" s="55"/>
      <c r="G57" s="55"/>
      <c r="H57" s="55"/>
      <c r="I57" s="55"/>
      <c r="J57" s="55"/>
    </row>
    <row r="58" spans="1:10" x14ac:dyDescent="0.2">
      <c r="A58" s="55"/>
      <c r="B58" s="55"/>
      <c r="C58" s="55"/>
      <c r="D58" s="55"/>
      <c r="E58" s="55"/>
      <c r="F58" s="55"/>
      <c r="G58" s="55"/>
      <c r="H58" s="55"/>
      <c r="I58" s="55"/>
      <c r="J58" s="55"/>
    </row>
    <row r="59" spans="1:10" x14ac:dyDescent="0.2">
      <c r="A59" s="55"/>
      <c r="B59" s="55"/>
      <c r="C59" s="55"/>
      <c r="D59" s="55"/>
      <c r="E59" s="55"/>
      <c r="F59" s="55"/>
      <c r="G59" s="55"/>
      <c r="H59" s="55"/>
      <c r="I59" s="55"/>
      <c r="J59" s="55"/>
    </row>
  </sheetData>
  <sheetProtection selectLockedCells="1" selectUnlockedCells="1"/>
  <mergeCells count="4">
    <mergeCell ref="B3:C3"/>
    <mergeCell ref="D3:E3"/>
    <mergeCell ref="F3:G3"/>
    <mergeCell ref="K33:L3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6"/>
  <sheetViews>
    <sheetView zoomScale="70" zoomScaleNormal="70" workbookViewId="0">
      <selection activeCell="K22" sqref="K22"/>
    </sheetView>
  </sheetViews>
  <sheetFormatPr baseColWidth="10" defaultColWidth="11.42578125" defaultRowHeight="12.75" x14ac:dyDescent="0.2"/>
  <cols>
    <col min="1" max="1" width="35.28515625" style="16" customWidth="1"/>
    <col min="2" max="2" width="26.140625" style="16" customWidth="1"/>
    <col min="3" max="3" width="21.28515625" style="16" customWidth="1"/>
    <col min="4" max="4" width="22.140625" style="16" customWidth="1"/>
    <col min="5" max="5" width="19.42578125" style="16" customWidth="1"/>
    <col min="6" max="6" width="20.28515625" style="16" customWidth="1"/>
    <col min="7" max="7" width="24.7109375" style="16" customWidth="1"/>
    <col min="8" max="8" width="17.42578125" style="16" customWidth="1"/>
    <col min="9" max="9" width="11.42578125" style="16"/>
    <col min="10" max="10" width="26.5703125" style="16" customWidth="1"/>
    <col min="11" max="16384" width="11.42578125" style="16"/>
  </cols>
  <sheetData>
    <row r="1" spans="1:12" x14ac:dyDescent="0.2">
      <c r="A1" s="1" t="s">
        <v>0</v>
      </c>
      <c r="B1"/>
      <c r="C1"/>
      <c r="D1"/>
      <c r="E1" s="14"/>
      <c r="F1" s="2">
        <f>InfoInicial!E1</f>
        <v>8</v>
      </c>
    </row>
    <row r="2" spans="1:12" ht="16.5" thickBot="1" x14ac:dyDescent="0.3">
      <c r="A2" s="1496" t="s">
        <v>265</v>
      </c>
      <c r="B2" s="1496"/>
      <c r="C2" s="730"/>
      <c r="D2" s="730"/>
      <c r="E2" s="730"/>
      <c r="F2" s="730"/>
      <c r="G2" s="730"/>
      <c r="H2" s="122"/>
      <c r="I2" s="122"/>
      <c r="J2" s="122"/>
      <c r="K2" s="122"/>
      <c r="L2" s="122"/>
    </row>
    <row r="3" spans="1:12" ht="16.5" thickBot="1" x14ac:dyDescent="0.3">
      <c r="A3" s="731" t="s">
        <v>88</v>
      </c>
      <c r="B3" s="727" t="s">
        <v>48</v>
      </c>
      <c r="C3" s="731" t="s">
        <v>89</v>
      </c>
      <c r="D3" s="731" t="s">
        <v>90</v>
      </c>
      <c r="E3" s="731" t="s">
        <v>91</v>
      </c>
      <c r="F3" s="731" t="s">
        <v>92</v>
      </c>
      <c r="G3" s="731" t="s">
        <v>191</v>
      </c>
      <c r="H3" s="122"/>
      <c r="I3" s="122"/>
      <c r="J3" s="122"/>
      <c r="K3" s="122"/>
      <c r="L3" s="122"/>
    </row>
    <row r="4" spans="1:12" ht="15" x14ac:dyDescent="0.2">
      <c r="A4" s="732" t="s">
        <v>266</v>
      </c>
      <c r="B4" s="733">
        <f>+InfoInicial!B46</f>
        <v>25937500</v>
      </c>
      <c r="C4" s="734">
        <f>+InfoInicial!$B$45</f>
        <v>30000000</v>
      </c>
      <c r="D4" s="734">
        <f>+InfoInicial!$B$45</f>
        <v>30000000</v>
      </c>
      <c r="E4" s="734">
        <f>+InfoInicial!$B$45</f>
        <v>30000000</v>
      </c>
      <c r="F4" s="735">
        <f>+InfoInicial!$B$45</f>
        <v>30000000</v>
      </c>
      <c r="G4" s="735">
        <f>+SUM(B4:F4)</f>
        <v>145937500</v>
      </c>
      <c r="H4" s="122"/>
      <c r="I4" s="122"/>
      <c r="J4" s="122"/>
      <c r="K4" s="122"/>
      <c r="L4" s="122"/>
    </row>
    <row r="5" spans="1:12" ht="15.75" thickBot="1" x14ac:dyDescent="0.25">
      <c r="A5" s="732" t="s">
        <v>267</v>
      </c>
      <c r="B5" s="733">
        <f>+'E-Costos'!B107</f>
        <v>12189912.587916201</v>
      </c>
      <c r="C5" s="735">
        <f>+'E-Costos'!C107</f>
        <v>13706788.326304695</v>
      </c>
      <c r="D5" s="735">
        <f>+'E-Costos'!D107</f>
        <v>13706967.220398977</v>
      </c>
      <c r="E5" s="735">
        <f>+'E-Costos'!E107</f>
        <v>13705980.526106754</v>
      </c>
      <c r="F5" s="735">
        <f>+'E-Costos'!F107</f>
        <v>13705979.115099233</v>
      </c>
      <c r="G5" s="735">
        <f>+SUM(B5:F5)</f>
        <v>67015627.775825858</v>
      </c>
      <c r="H5" s="122"/>
      <c r="I5" s="140"/>
      <c r="J5" s="122"/>
      <c r="K5" s="122"/>
      <c r="L5" s="122"/>
    </row>
    <row r="6" spans="1:12" ht="16.5" thickBot="1" x14ac:dyDescent="0.3">
      <c r="A6" s="736" t="s">
        <v>268</v>
      </c>
      <c r="B6" s="737">
        <f t="shared" ref="B6:G6" si="0">+B4-B5</f>
        <v>13747587.412083799</v>
      </c>
      <c r="C6" s="738">
        <f t="shared" si="0"/>
        <v>16293211.673695305</v>
      </c>
      <c r="D6" s="738">
        <f t="shared" si="0"/>
        <v>16293032.779601023</v>
      </c>
      <c r="E6" s="738">
        <f t="shared" si="0"/>
        <v>16294019.473893246</v>
      </c>
      <c r="F6" s="738">
        <f t="shared" si="0"/>
        <v>16294020.884900767</v>
      </c>
      <c r="G6" s="738">
        <f t="shared" si="0"/>
        <v>78921872.224174142</v>
      </c>
      <c r="H6" s="122"/>
      <c r="I6" s="122"/>
      <c r="J6" s="122"/>
      <c r="K6" s="122"/>
      <c r="L6" s="122"/>
    </row>
    <row r="7" spans="1:12" ht="15" x14ac:dyDescent="0.2">
      <c r="A7" s="732" t="s">
        <v>838</v>
      </c>
      <c r="B7" s="739"/>
      <c r="C7" s="740"/>
      <c r="D7" s="740"/>
      <c r="E7" s="740"/>
      <c r="F7" s="740"/>
      <c r="G7" s="740"/>
      <c r="H7" s="122"/>
      <c r="I7" s="122"/>
      <c r="J7" s="122"/>
      <c r="K7" s="122"/>
      <c r="L7" s="122"/>
    </row>
    <row r="8" spans="1:12" ht="15" x14ac:dyDescent="0.2">
      <c r="A8" s="732" t="s">
        <v>269</v>
      </c>
      <c r="B8" s="733">
        <f>+'E-Costos'!B109</f>
        <v>1604506.946340495</v>
      </c>
      <c r="C8" s="735">
        <f>+'E-Costos'!C109</f>
        <v>1716419.9295304848</v>
      </c>
      <c r="D8" s="735">
        <f>+'E-Costos'!D109</f>
        <v>1716419.9295304848</v>
      </c>
      <c r="E8" s="735">
        <f>+'E-Costos'!E109</f>
        <v>1716419.9295304848</v>
      </c>
      <c r="F8" s="735">
        <f>+'E-Costos'!F109</f>
        <v>1716419.9295304848</v>
      </c>
      <c r="G8" s="735">
        <f>+SUM(B8:F8)</f>
        <v>8470186.6644624341</v>
      </c>
      <c r="H8" s="122"/>
      <c r="I8" s="122"/>
      <c r="J8" s="122"/>
      <c r="K8" s="122"/>
      <c r="L8" s="122"/>
    </row>
    <row r="9" spans="1:12" ht="15.75" thickBot="1" x14ac:dyDescent="0.25">
      <c r="A9" s="732" t="s">
        <v>270</v>
      </c>
      <c r="B9" s="733">
        <f>+'E-Costos'!B110</f>
        <v>2576460.465636923</v>
      </c>
      <c r="C9" s="735">
        <f>+'E-Costos'!C110</f>
        <v>2824662.5571264653</v>
      </c>
      <c r="D9" s="735">
        <f>+'E-Costos'!D110</f>
        <v>2824662.5571264653</v>
      </c>
      <c r="E9" s="735">
        <f>+'E-Costos'!E110</f>
        <v>2824662.5571264653</v>
      </c>
      <c r="F9" s="735">
        <f>+'E-Costos'!F110</f>
        <v>2824662.5571264653</v>
      </c>
      <c r="G9" s="735">
        <f>+SUM(B9:F9)</f>
        <v>13875110.694142785</v>
      </c>
      <c r="H9" s="122"/>
      <c r="I9" s="122"/>
      <c r="J9" s="122"/>
      <c r="K9" s="122"/>
      <c r="L9" s="122"/>
    </row>
    <row r="10" spans="1:12" ht="16.5" thickBot="1" x14ac:dyDescent="0.3">
      <c r="A10" s="732" t="s">
        <v>271</v>
      </c>
      <c r="B10" s="733">
        <f>+'Gasto financiero'!E2</f>
        <v>2165537.351088197</v>
      </c>
      <c r="C10" s="735">
        <f>+'Gasto financiero'!E3</f>
        <v>2165537.351088197</v>
      </c>
      <c r="D10" s="735">
        <f>+'Gasto financiero'!E4</f>
        <v>2032666.0982341969</v>
      </c>
      <c r="E10" s="735">
        <f>+'Gasto financiero'!E5</f>
        <v>1774305.3287958635</v>
      </c>
      <c r="F10" s="735">
        <f>+'Gasto financiero'!E6</f>
        <v>1597143.6583238635</v>
      </c>
      <c r="G10" s="735">
        <f>SUM(B10:F10)</f>
        <v>9735189.7875303179</v>
      </c>
      <c r="H10" s="122"/>
      <c r="I10" s="741" t="s">
        <v>839</v>
      </c>
      <c r="J10" s="728">
        <f>G10</f>
        <v>9735189.7875303179</v>
      </c>
      <c r="K10" s="122"/>
      <c r="L10" s="122"/>
    </row>
    <row r="11" spans="1:12" ht="16.5" thickBot="1" x14ac:dyDescent="0.25">
      <c r="A11" s="742" t="s">
        <v>272</v>
      </c>
      <c r="B11" s="743">
        <f>B6-B8-B9-B10</f>
        <v>7401082.6490181824</v>
      </c>
      <c r="C11" s="744">
        <f>C6-C8-C9-C10</f>
        <v>9586591.8359501585</v>
      </c>
      <c r="D11" s="744">
        <f>D6-D8-D9-D10</f>
        <v>9719284.1947098766</v>
      </c>
      <c r="E11" s="744">
        <f>E6-E8-E9-E10</f>
        <v>9978631.6584404316</v>
      </c>
      <c r="F11" s="744">
        <f>F6-F8-F9-F10</f>
        <v>10155794.739919955</v>
      </c>
      <c r="G11" s="744">
        <f>SUM(B11:F11)</f>
        <v>46841385.078038603</v>
      </c>
      <c r="H11" s="122"/>
      <c r="I11" s="122"/>
      <c r="J11" s="122"/>
      <c r="K11" s="122"/>
      <c r="L11" s="122"/>
    </row>
    <row r="12" spans="1:12" ht="15" x14ac:dyDescent="0.2">
      <c r="A12" s="732" t="s">
        <v>273</v>
      </c>
      <c r="B12" s="734">
        <f>'E-Form'!E6</f>
        <v>478331.00000531902</v>
      </c>
      <c r="C12" s="734">
        <f>'E-Form'!E7</f>
        <v>587606.45935191773</v>
      </c>
      <c r="D12" s="734">
        <f>'E-Form'!E8</f>
        <v>587597.51464720373</v>
      </c>
      <c r="E12" s="734">
        <f>'E-Form'!E9</f>
        <v>587646.84936181479</v>
      </c>
      <c r="F12" s="733">
        <f>'E-Form'!E10</f>
        <v>587646.91991219099</v>
      </c>
      <c r="G12" s="735">
        <f>SUM(B12:F12)</f>
        <v>2828828.7432784466</v>
      </c>
      <c r="H12" s="122"/>
      <c r="I12" s="122"/>
      <c r="J12" s="122"/>
      <c r="K12" s="122"/>
      <c r="L12" s="122"/>
    </row>
    <row r="13" spans="1:12" ht="15.75" thickBot="1" x14ac:dyDescent="0.25">
      <c r="A13" s="745" t="s">
        <v>274</v>
      </c>
      <c r="B13" s="746">
        <f>+(B11-B12)*InfoInicial!$B$4</f>
        <v>2422963.0771545023</v>
      </c>
      <c r="C13" s="746">
        <f>+(C11-C12)*InfoInicial!$B$4</f>
        <v>3149644.8818093841</v>
      </c>
      <c r="D13" s="735">
        <f>+(D11-D12)*InfoInicial!$B$4</f>
        <v>3196090.338021935</v>
      </c>
      <c r="E13" s="735">
        <f>+(E11-E12)*InfoInicial!$B$4</f>
        <v>3286844.6831775159</v>
      </c>
      <c r="F13" s="747">
        <f>+(F11-F12)*InfoInicial!$B$4</f>
        <v>3348851.7370027173</v>
      </c>
      <c r="G13" s="735">
        <f>SUM(B13:F13)</f>
        <v>15404394.717166053</v>
      </c>
      <c r="H13" s="122"/>
      <c r="I13" s="122"/>
      <c r="J13" s="122"/>
      <c r="K13" s="122"/>
      <c r="L13" s="122"/>
    </row>
    <row r="14" spans="1:12" ht="16.5" thickBot="1" x14ac:dyDescent="0.25">
      <c r="A14" s="748" t="s">
        <v>275</v>
      </c>
      <c r="B14" s="743">
        <f>B11-B12-B13</f>
        <v>4499788.5718583614</v>
      </c>
      <c r="C14" s="744">
        <f>C11-C12-C13</f>
        <v>5849340.4947888572</v>
      </c>
      <c r="D14" s="744">
        <f>D11-D12-D13</f>
        <v>5935596.3420407372</v>
      </c>
      <c r="E14" s="744">
        <f>E11-E12-E13</f>
        <v>6104140.1259011012</v>
      </c>
      <c r="F14" s="749">
        <f>F11-F12-F13</f>
        <v>6219296.0830050465</v>
      </c>
      <c r="G14" s="744">
        <f>SUM(B14:F14)</f>
        <v>28608161.617594108</v>
      </c>
      <c r="H14" s="122"/>
      <c r="I14" s="122"/>
      <c r="J14" s="122"/>
      <c r="K14" s="122"/>
      <c r="L14" s="122"/>
    </row>
    <row r="15" spans="1:12" ht="15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ht="15.75" thickBot="1" x14ac:dyDescent="0.25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ht="15.75" x14ac:dyDescent="0.25">
      <c r="A17" s="122"/>
      <c r="B17" s="122"/>
      <c r="C17" s="122"/>
      <c r="D17" s="122"/>
      <c r="E17" s="122"/>
      <c r="F17" s="750" t="s">
        <v>840</v>
      </c>
      <c r="G17" s="751">
        <f>G14</f>
        <v>28608161.617594108</v>
      </c>
      <c r="H17" s="122"/>
      <c r="I17" s="752"/>
      <c r="J17" s="122"/>
      <c r="K17" s="122"/>
      <c r="L17" s="122"/>
    </row>
    <row r="18" spans="1:12" ht="15.75" x14ac:dyDescent="0.25">
      <c r="A18" s="122"/>
      <c r="B18" s="122"/>
      <c r="C18" s="122"/>
      <c r="D18" s="122"/>
      <c r="E18" s="122"/>
      <c r="F18" s="753" t="s">
        <v>841</v>
      </c>
      <c r="G18" s="754">
        <f>'E-Form'!D13</f>
        <v>34936034.979488812</v>
      </c>
      <c r="H18" s="122"/>
      <c r="I18" s="752"/>
      <c r="J18" s="122"/>
      <c r="K18" s="122"/>
      <c r="L18" s="122"/>
    </row>
    <row r="19" spans="1:12" ht="16.5" thickBot="1" x14ac:dyDescent="0.3">
      <c r="A19" s="122"/>
      <c r="B19" s="122"/>
      <c r="C19" s="122"/>
      <c r="D19" s="122"/>
      <c r="E19" s="122"/>
      <c r="F19" s="755" t="s">
        <v>842</v>
      </c>
      <c r="G19" s="756">
        <f>G14+G10</f>
        <v>38343351.405124426</v>
      </c>
      <c r="H19" s="122"/>
      <c r="I19" s="122"/>
      <c r="J19" s="122"/>
      <c r="K19" s="122"/>
      <c r="L19" s="122"/>
    </row>
    <row r="20" spans="1:12" ht="15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ht="15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ht="15" x14ac:dyDescent="0.2">
      <c r="A22" s="122"/>
      <c r="B22" s="122"/>
      <c r="C22" s="122"/>
      <c r="D22" s="122"/>
      <c r="E22" s="122"/>
      <c r="F22" s="752"/>
      <c r="G22" s="757"/>
      <c r="H22" s="122"/>
      <c r="I22" s="122"/>
      <c r="J22" s="122"/>
      <c r="K22" s="122"/>
      <c r="L22" s="122"/>
    </row>
    <row r="23" spans="1:12" ht="15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ht="15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ht="15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ht="15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</sheetData>
  <sheetProtection selectLockedCells="1" selectUnlockedCells="1"/>
  <mergeCells count="1">
    <mergeCell ref="A2:B2"/>
  </mergeCells>
  <conditionalFormatting sqref="G19">
    <cfRule type="cellIs" dxfId="1" priority="1" operator="equal">
      <formula>$G$18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P191"/>
  <sheetViews>
    <sheetView topLeftCell="A13" zoomScale="25" zoomScaleNormal="25" workbookViewId="0">
      <selection activeCell="E34" sqref="E34"/>
    </sheetView>
  </sheetViews>
  <sheetFormatPr baseColWidth="10" defaultColWidth="11.5703125" defaultRowHeight="12.75" x14ac:dyDescent="0.2"/>
  <cols>
    <col min="1" max="1" width="54.42578125" style="16" customWidth="1"/>
    <col min="2" max="2" width="21.7109375" style="16" customWidth="1"/>
    <col min="3" max="3" width="27.42578125" style="16" customWidth="1"/>
    <col min="4" max="4" width="24.42578125" style="16" customWidth="1"/>
    <col min="5" max="5" width="22.85546875" style="16" customWidth="1"/>
    <col min="6" max="6" width="20" style="16" customWidth="1"/>
    <col min="7" max="7" width="11.42578125" style="16" customWidth="1"/>
    <col min="8" max="8" width="26.42578125" style="16" customWidth="1"/>
    <col min="9" max="9" width="30.28515625" style="16" customWidth="1"/>
    <col min="10" max="10" width="23.42578125" style="16" customWidth="1"/>
    <col min="11" max="11" width="21.7109375" style="16" customWidth="1"/>
    <col min="12" max="12" width="20.7109375" style="16" customWidth="1"/>
    <col min="13" max="250" width="11.42578125" style="16" customWidth="1"/>
  </cols>
  <sheetData>
    <row r="1" spans="1:40" ht="15.75" x14ac:dyDescent="0.25">
      <c r="A1" s="758" t="s">
        <v>0</v>
      </c>
      <c r="B1" s="122"/>
      <c r="C1" s="122"/>
      <c r="D1" s="122">
        <f>InfoInicial!E1</f>
        <v>8</v>
      </c>
      <c r="E1" s="759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</row>
    <row r="2" spans="1:40" ht="21" thickBot="1" x14ac:dyDescent="0.35">
      <c r="A2" s="760" t="s">
        <v>276</v>
      </c>
      <c r="B2" s="761"/>
      <c r="C2" s="761"/>
      <c r="D2" s="761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</row>
    <row r="3" spans="1:40" ht="16.5" thickBot="1" x14ac:dyDescent="0.3">
      <c r="A3" s="731" t="s">
        <v>88</v>
      </c>
      <c r="B3" s="727" t="s">
        <v>47</v>
      </c>
      <c r="C3" s="727" t="s">
        <v>48</v>
      </c>
      <c r="D3" s="731" t="s">
        <v>191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</row>
    <row r="4" spans="1:40" ht="15.75" x14ac:dyDescent="0.25">
      <c r="A4" s="762" t="s">
        <v>277</v>
      </c>
      <c r="B4" s="763"/>
      <c r="C4" s="764"/>
      <c r="D4" s="765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</row>
    <row r="5" spans="1:40" ht="15" x14ac:dyDescent="0.2">
      <c r="A5" s="732" t="s">
        <v>278</v>
      </c>
      <c r="B5" s="766">
        <f>+'E-Inv AF y Am'!B20</f>
        <v>6989103.3033750001</v>
      </c>
      <c r="C5" s="767">
        <v>0</v>
      </c>
      <c r="D5" s="768">
        <f>+SUM(B5:C5)</f>
        <v>6989103.3033750001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</row>
    <row r="6" spans="1:40" ht="15" x14ac:dyDescent="0.2">
      <c r="A6" s="732" t="s">
        <v>279</v>
      </c>
      <c r="B6" s="766">
        <f>+'E-Inv AF y Am'!B31+'F-Cred'!I21+'F-Cred'!G21</f>
        <v>1409097.2968989999</v>
      </c>
      <c r="C6" s="767">
        <f>+'E-Inv AF y Am'!C31</f>
        <v>149850</v>
      </c>
      <c r="D6" s="768">
        <f>+SUM(B6:C6)</f>
        <v>1558947.2968989999</v>
      </c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</row>
    <row r="7" spans="1:40" ht="15.75" x14ac:dyDescent="0.25">
      <c r="A7" s="769" t="s">
        <v>280</v>
      </c>
      <c r="B7" s="766">
        <f>+SUM(B5:B6)</f>
        <v>8398200.6002740003</v>
      </c>
      <c r="C7" s="767">
        <f>+SUM(C5:C6)</f>
        <v>149850</v>
      </c>
      <c r="D7" s="768">
        <f>+SUM(D5:D6)</f>
        <v>8548050.6002740003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</row>
    <row r="8" spans="1:40" ht="15.75" thickBot="1" x14ac:dyDescent="0.25">
      <c r="A8" s="745" t="s">
        <v>281</v>
      </c>
      <c r="B8" s="770">
        <f>+InfoInicial!$B$3*B7</f>
        <v>1763622.1260575401</v>
      </c>
      <c r="C8" s="771">
        <f>+InfoInicial!$B$3*C7</f>
        <v>31468.5</v>
      </c>
      <c r="D8" s="772">
        <f>SUM(B8:C8)</f>
        <v>1795090.6260575401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</row>
    <row r="9" spans="1:40" ht="16.5" thickBot="1" x14ac:dyDescent="0.3">
      <c r="A9" s="773" t="s">
        <v>282</v>
      </c>
      <c r="B9" s="774">
        <f>+SUM(B7:B8)</f>
        <v>10161822.726331539</v>
      </c>
      <c r="C9" s="775">
        <f>+SUM(C7:C8)</f>
        <v>181318.5</v>
      </c>
      <c r="D9" s="738">
        <f>+SUM(D7:D8)</f>
        <v>10343141.226331539</v>
      </c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</row>
    <row r="10" spans="1:40" ht="15.75" x14ac:dyDescent="0.25">
      <c r="A10" s="762" t="s">
        <v>283</v>
      </c>
      <c r="B10" s="763"/>
      <c r="C10" s="764"/>
      <c r="D10" s="765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</row>
    <row r="11" spans="1:40" ht="15" x14ac:dyDescent="0.2">
      <c r="A11" s="745" t="s">
        <v>284</v>
      </c>
      <c r="B11" s="766">
        <f>+'E-InvAT'!B6</f>
        <v>540000</v>
      </c>
      <c r="C11" s="767">
        <f>+'E-InvAT'!C6-'E-InvAT'!B6</f>
        <v>360000</v>
      </c>
      <c r="D11" s="768">
        <f>+SUM(B11:C11)</f>
        <v>900000</v>
      </c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</row>
    <row r="12" spans="1:40" ht="15" x14ac:dyDescent="0.2">
      <c r="A12" s="732" t="s">
        <v>285</v>
      </c>
      <c r="B12" s="766">
        <v>0</v>
      </c>
      <c r="C12" s="767">
        <f>+'E-InvAT'!C7</f>
        <v>2131849.3150684931</v>
      </c>
      <c r="D12" s="768">
        <f>+SUM(B12:C12)</f>
        <v>2131849.3150684931</v>
      </c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</row>
    <row r="13" spans="1:40" ht="15" x14ac:dyDescent="0.2">
      <c r="A13" s="732" t="s">
        <v>286</v>
      </c>
      <c r="B13" s="766">
        <f>+'E-InvAT'!B9</f>
        <v>1207810.9192855756</v>
      </c>
      <c r="C13" s="767">
        <f>+'E-InvAT'!C9-'E-InvAT'!B9</f>
        <v>3824979.1023801649</v>
      </c>
      <c r="D13" s="768">
        <f>+SUM(B13:C13)</f>
        <v>5032790.0216657408</v>
      </c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</row>
    <row r="14" spans="1:40" ht="15.75" x14ac:dyDescent="0.25">
      <c r="A14" s="769" t="s">
        <v>287</v>
      </c>
      <c r="B14" s="776">
        <f>+SUM(B11:B13)</f>
        <v>1747810.9192855756</v>
      </c>
      <c r="C14" s="777">
        <f>+SUM(C11:C13)</f>
        <v>6316828.4174486585</v>
      </c>
      <c r="D14" s="778">
        <f>+SUM(D11:D13)</f>
        <v>8064639.3367342334</v>
      </c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</row>
    <row r="15" spans="1:40" ht="15" x14ac:dyDescent="0.2">
      <c r="A15" s="732" t="s">
        <v>114</v>
      </c>
      <c r="B15" s="779"/>
      <c r="C15" s="780"/>
      <c r="D15" s="78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</row>
    <row r="16" spans="1:40" ht="15" x14ac:dyDescent="0.2">
      <c r="A16" s="732" t="s">
        <v>288</v>
      </c>
      <c r="B16" s="766">
        <v>0</v>
      </c>
      <c r="C16" s="767">
        <f>+'E-InvAT'!C17+'E-InvAT'!C18</f>
        <v>10364.812395273901</v>
      </c>
      <c r="D16" s="768">
        <f t="shared" ref="D16:D22" si="0">SUM(B16:C16)</f>
        <v>10364.812395273901</v>
      </c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</row>
    <row r="17" spans="1:40" ht="15" x14ac:dyDescent="0.2">
      <c r="A17" s="732" t="s">
        <v>289</v>
      </c>
      <c r="B17" s="766">
        <v>0</v>
      </c>
      <c r="C17" s="767">
        <f>+('E-Inv AF y Am'!D56+'Gasto financiero'!B2-'F-2 Estructura'!C16)*90/360</f>
        <v>217185.6669156815</v>
      </c>
      <c r="D17" s="768">
        <f t="shared" si="0"/>
        <v>217185.6669156815</v>
      </c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</row>
    <row r="18" spans="1:40" ht="15" x14ac:dyDescent="0.2">
      <c r="A18" s="732" t="s">
        <v>290</v>
      </c>
      <c r="B18" s="766">
        <v>0</v>
      </c>
      <c r="C18" s="767">
        <f>+'F-CRes'!B14/'E-Costos'!B88*'E-InvAT'!C7</f>
        <v>369845.63604315295</v>
      </c>
      <c r="D18" s="768">
        <f t="shared" si="0"/>
        <v>369845.63604315295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</row>
    <row r="19" spans="1:40" ht="15.75" x14ac:dyDescent="0.25">
      <c r="A19" s="769" t="s">
        <v>291</v>
      </c>
      <c r="B19" s="766">
        <f>+B14-SUM(B16:B18)</f>
        <v>1747810.9192855756</v>
      </c>
      <c r="C19" s="767">
        <f>+C14-SUM(C16:C18)</f>
        <v>5719432.3020945499</v>
      </c>
      <c r="D19" s="768">
        <f t="shared" si="0"/>
        <v>7467243.2213801257</v>
      </c>
      <c r="E19" s="122"/>
      <c r="F19" s="75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</row>
    <row r="20" spans="1:40" ht="15.75" thickBot="1" x14ac:dyDescent="0.25">
      <c r="A20" s="732" t="s">
        <v>292</v>
      </c>
      <c r="B20" s="770">
        <f>InfoInicial!$B$3*B19</f>
        <v>367040.29304997087</v>
      </c>
      <c r="C20" s="771">
        <f>InfoInicial!$B$3*C19</f>
        <v>1201080.7834398553</v>
      </c>
      <c r="D20" s="772">
        <f t="shared" si="0"/>
        <v>1568121.0764898262</v>
      </c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</row>
    <row r="21" spans="1:40" ht="15.75" x14ac:dyDescent="0.25">
      <c r="A21" s="762" t="s">
        <v>843</v>
      </c>
      <c r="B21" s="782">
        <f>+B14+B20</f>
        <v>2114851.2123355465</v>
      </c>
      <c r="C21" s="783">
        <f>+C14+C20</f>
        <v>7517909.2008885136</v>
      </c>
      <c r="D21" s="784">
        <f t="shared" si="0"/>
        <v>9632760.4132240601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</row>
    <row r="22" spans="1:40" ht="16.5" thickBot="1" x14ac:dyDescent="0.3">
      <c r="A22" s="785" t="s">
        <v>844</v>
      </c>
      <c r="B22" s="786">
        <f>+SUM(B19:B20)</f>
        <v>2114851.2123355465</v>
      </c>
      <c r="C22" s="787">
        <f>+SUM(C19:C20)</f>
        <v>6920513.085534405</v>
      </c>
      <c r="D22" s="788">
        <f t="shared" si="0"/>
        <v>9035364.2978699505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</row>
    <row r="23" spans="1:40" ht="15.75" x14ac:dyDescent="0.25">
      <c r="A23" s="769" t="s">
        <v>293</v>
      </c>
      <c r="B23" s="789"/>
      <c r="C23" s="790"/>
      <c r="D23" s="791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</row>
    <row r="24" spans="1:40" ht="15" x14ac:dyDescent="0.2">
      <c r="A24" s="732" t="s">
        <v>294</v>
      </c>
      <c r="B24" s="766">
        <f>+B9</f>
        <v>10161822.726331539</v>
      </c>
      <c r="C24" s="767">
        <f>+C9</f>
        <v>181318.5</v>
      </c>
      <c r="D24" s="768">
        <f>SUM(B24:C24)</f>
        <v>10343141.226331539</v>
      </c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</row>
    <row r="25" spans="1:40" ht="15.75" thickBot="1" x14ac:dyDescent="0.25">
      <c r="A25" s="732" t="s">
        <v>295</v>
      </c>
      <c r="B25" s="770">
        <f>+B22</f>
        <v>2114851.2123355465</v>
      </c>
      <c r="C25" s="771">
        <f>+C22</f>
        <v>6920513.085534405</v>
      </c>
      <c r="D25" s="772">
        <f>SUM(B25:C25)</f>
        <v>9035364.2978699505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</row>
    <row r="26" spans="1:40" ht="16.5" thickBot="1" x14ac:dyDescent="0.3">
      <c r="A26" s="773" t="s">
        <v>296</v>
      </c>
      <c r="B26" s="774">
        <f>+SUM(B24:B25)</f>
        <v>12276673.938667085</v>
      </c>
      <c r="C26" s="775">
        <f>+SUM(C24:C25)</f>
        <v>7101831.585534405</v>
      </c>
      <c r="D26" s="738">
        <f>SUM(B26:C26)</f>
        <v>19378505.52420149</v>
      </c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</row>
    <row r="27" spans="1:40" ht="15.75" x14ac:dyDescent="0.25">
      <c r="A27" s="762" t="s">
        <v>297</v>
      </c>
      <c r="B27" s="763"/>
      <c r="C27" s="764"/>
      <c r="D27" s="765"/>
      <c r="E27" s="792" t="s">
        <v>298</v>
      </c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</row>
    <row r="28" spans="1:40" ht="15.75" x14ac:dyDescent="0.25">
      <c r="A28" s="769" t="s">
        <v>300</v>
      </c>
      <c r="B28" s="766">
        <f>+'Servicio de CNR'!C23</f>
        <v>3321781.3213500003</v>
      </c>
      <c r="C28" s="767">
        <v>0</v>
      </c>
      <c r="D28" s="768">
        <f>+SUM(B28:C28)</f>
        <v>3321781.3213500003</v>
      </c>
      <c r="E28" s="793">
        <f>+D28/$D$31</f>
        <v>0.17141576357379487</v>
      </c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</row>
    <row r="29" spans="1:40" ht="15.75" x14ac:dyDescent="0.25">
      <c r="A29" s="769" t="s">
        <v>299</v>
      </c>
      <c r="B29" s="766">
        <f>+'F-Cred'!B20</f>
        <v>0</v>
      </c>
      <c r="C29" s="767">
        <f>+'Servicio de CR'!C3</f>
        <v>3882133.1017646585</v>
      </c>
      <c r="D29" s="768">
        <f>+SUM(B29:C29)</f>
        <v>3882133.1017646585</v>
      </c>
      <c r="E29" s="793">
        <f>+D29/$D$31</f>
        <v>0.20033191398151565</v>
      </c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</row>
    <row r="30" spans="1:40" ht="16.5" thickBot="1" x14ac:dyDescent="0.3">
      <c r="A30" s="794" t="s">
        <v>301</v>
      </c>
      <c r="B30" s="795">
        <f>+B26-B28-B29</f>
        <v>8954892.6173170842</v>
      </c>
      <c r="C30" s="796">
        <f>+C26-C28-C29</f>
        <v>3219698.4837697465</v>
      </c>
      <c r="D30" s="797">
        <f>+SUM(B30:C30)</f>
        <v>12174591.101086831</v>
      </c>
      <c r="E30" s="798">
        <f>+D30/$D$31</f>
        <v>0.62825232244468943</v>
      </c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</row>
    <row r="31" spans="1:40" ht="16.5" thickBot="1" x14ac:dyDescent="0.3">
      <c r="A31" s="773" t="s">
        <v>191</v>
      </c>
      <c r="B31" s="774">
        <f>+SUM(B28:B30)</f>
        <v>12276673.938667085</v>
      </c>
      <c r="C31" s="775">
        <f>+SUM(C28:C30)</f>
        <v>7101831.585534405</v>
      </c>
      <c r="D31" s="738">
        <f>+SUM(B31:C31)</f>
        <v>19378505.52420149</v>
      </c>
      <c r="E31" s="799">
        <f>+D31/$D$31</f>
        <v>1</v>
      </c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</row>
    <row r="32" spans="1:40" ht="15.75" x14ac:dyDescent="0.25">
      <c r="A32" s="800"/>
      <c r="B32" s="733"/>
      <c r="C32" s="733"/>
      <c r="D32" s="733"/>
      <c r="E32" s="801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</row>
    <row r="33" spans="1:40" ht="15.75" x14ac:dyDescent="0.25">
      <c r="A33" s="800"/>
      <c r="B33" s="733"/>
      <c r="C33" s="733"/>
      <c r="D33" s="733"/>
      <c r="E33" s="801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</row>
    <row r="34" spans="1:40" ht="15.75" thickBot="1" x14ac:dyDescent="0.25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</row>
    <row r="35" spans="1:40" ht="16.5" thickTop="1" x14ac:dyDescent="0.25">
      <c r="A35" s="802" t="s">
        <v>302</v>
      </c>
      <c r="B35" s="803"/>
      <c r="C35" s="803"/>
      <c r="D35" s="803"/>
      <c r="E35" s="803"/>
      <c r="F35" s="803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</row>
    <row r="36" spans="1:40" ht="16.5" thickBot="1" x14ac:dyDescent="0.3">
      <c r="A36" s="804" t="s">
        <v>88</v>
      </c>
      <c r="B36" s="805" t="s">
        <v>48</v>
      </c>
      <c r="C36" s="805" t="s">
        <v>89</v>
      </c>
      <c r="D36" s="805" t="s">
        <v>90</v>
      </c>
      <c r="E36" s="805" t="s">
        <v>91</v>
      </c>
      <c r="F36" s="805" t="s">
        <v>92</v>
      </c>
      <c r="G36" s="138"/>
      <c r="H36" s="138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</row>
    <row r="37" spans="1:40" ht="16.5" thickTop="1" x14ac:dyDescent="0.25">
      <c r="A37" s="806" t="s">
        <v>154</v>
      </c>
      <c r="B37" s="807">
        <f>'E-Costos'!B129</f>
        <v>8513468.2777600009</v>
      </c>
      <c r="C37" s="807">
        <f>'E-Costos'!C129</f>
        <v>9392218.5920000002</v>
      </c>
      <c r="D37" s="807">
        <f>'E-Costos'!D129</f>
        <v>9392218.5920000002</v>
      </c>
      <c r="E37" s="807">
        <f>'E-Costos'!E129</f>
        <v>9392218.5920000002</v>
      </c>
      <c r="F37" s="807">
        <f>'E-Costos'!F129</f>
        <v>9392218.5920000002</v>
      </c>
      <c r="G37" s="138"/>
      <c r="H37" s="138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</row>
    <row r="38" spans="1:40" ht="15.75" x14ac:dyDescent="0.25">
      <c r="A38" s="808" t="s">
        <v>153</v>
      </c>
      <c r="B38" s="807">
        <f>'E-Costos'!B128</f>
        <v>3597788.0197016806</v>
      </c>
      <c r="C38" s="807">
        <f>'E-Costos'!C128</f>
        <v>3897455.0999134211</v>
      </c>
      <c r="D38" s="807">
        <f>'E-Costos'!D128</f>
        <v>3897455.0999134211</v>
      </c>
      <c r="E38" s="807">
        <f>'E-Costos'!E128</f>
        <v>3896720.5181108215</v>
      </c>
      <c r="F38" s="807">
        <f>'E-Costos'!F128</f>
        <v>3896720.5181108215</v>
      </c>
      <c r="G38" s="138"/>
      <c r="H38" s="138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</row>
    <row r="39" spans="1:40" ht="18" x14ac:dyDescent="0.25">
      <c r="A39" s="806" t="s">
        <v>156</v>
      </c>
      <c r="B39" s="807">
        <f>'E-Costos'!B131</f>
        <v>0</v>
      </c>
      <c r="C39" s="807">
        <f>'E-Costos'!C131</f>
        <v>0</v>
      </c>
      <c r="D39" s="807">
        <f>'E-Costos'!D131</f>
        <v>0</v>
      </c>
      <c r="E39" s="807">
        <f>'E-Costos'!E131</f>
        <v>0</v>
      </c>
      <c r="F39" s="807">
        <f>'E-Costos'!F131</f>
        <v>0</v>
      </c>
      <c r="G39" s="138"/>
      <c r="H39" s="1097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</row>
    <row r="40" spans="1:40" ht="15.75" x14ac:dyDescent="0.25">
      <c r="A40" s="808" t="s">
        <v>155</v>
      </c>
      <c r="B40" s="807">
        <f>'E-Costos'!B130</f>
        <v>1358794.5652309167</v>
      </c>
      <c r="C40" s="807">
        <f>'E-Costos'!C130</f>
        <v>1448962.8136309534</v>
      </c>
      <c r="D40" s="807">
        <f>'E-Costos'!D130</f>
        <v>1448962.8136309534</v>
      </c>
      <c r="E40" s="807">
        <f>'E-Costos'!E130</f>
        <v>1448962.8136309534</v>
      </c>
      <c r="F40" s="807">
        <f>'E-Costos'!F130</f>
        <v>1448962.8136309534</v>
      </c>
      <c r="G40" s="138"/>
      <c r="H40" s="138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</row>
    <row r="41" spans="1:40" ht="15.75" x14ac:dyDescent="0.25">
      <c r="A41" s="806" t="s">
        <v>158</v>
      </c>
      <c r="B41" s="807">
        <f>'E-Costos'!B133</f>
        <v>713281.25</v>
      </c>
      <c r="C41" s="807">
        <f>'E-Costos'!C133</f>
        <v>825000</v>
      </c>
      <c r="D41" s="807">
        <f>'E-Costos'!D133</f>
        <v>825000</v>
      </c>
      <c r="E41" s="807">
        <f>'E-Costos'!E133</f>
        <v>825000</v>
      </c>
      <c r="F41" s="807">
        <f>'E-Costos'!F133</f>
        <v>825000</v>
      </c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</row>
    <row r="42" spans="1:40" ht="15.75" x14ac:dyDescent="0.25">
      <c r="A42" s="808" t="s">
        <v>157</v>
      </c>
      <c r="B42" s="807">
        <f>'E-Costos'!B132</f>
        <v>1731744.1033593919</v>
      </c>
      <c r="C42" s="807">
        <f>'E-Costos'!C132</f>
        <v>1866488.4596089337</v>
      </c>
      <c r="D42" s="807">
        <f>'E-Costos'!D132</f>
        <v>1866488.4596089337</v>
      </c>
      <c r="E42" s="807">
        <f>'E-Costos'!E132</f>
        <v>1866488.4596089337</v>
      </c>
      <c r="F42" s="807">
        <f>'E-Costos'!F132</f>
        <v>1866488.4596089337</v>
      </c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</row>
    <row r="43" spans="1:40" ht="15.75" x14ac:dyDescent="0.25">
      <c r="A43" s="808" t="s">
        <v>303</v>
      </c>
      <c r="B43" s="809">
        <f>+'F-CRes'!B10</f>
        <v>2165537.351088197</v>
      </c>
      <c r="C43" s="809">
        <f>+'F-CRes'!C10</f>
        <v>2165537.351088197</v>
      </c>
      <c r="D43" s="809">
        <f>+'F-CRes'!D10</f>
        <v>2032666.0982341969</v>
      </c>
      <c r="E43" s="809">
        <f>+'F-CRes'!E10</f>
        <v>1774305.3287958635</v>
      </c>
      <c r="F43" s="809">
        <f>+'F-CRes'!F10</f>
        <v>1597143.6583238635</v>
      </c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</row>
    <row r="44" spans="1:40" ht="15.75" x14ac:dyDescent="0.25">
      <c r="A44" s="806" t="s">
        <v>159</v>
      </c>
      <c r="B44" s="809">
        <f>+'F-CRes'!B4-('F-2 Estructura'!B37+'F-2 Estructura'!B39+'F-2 Estructura'!B41)</f>
        <v>16710750.472239999</v>
      </c>
      <c r="C44" s="809">
        <f>+'F-CRes'!C4-('F-2 Estructura'!C37+'F-2 Estructura'!C39+'F-2 Estructura'!C41)</f>
        <v>19782781.408</v>
      </c>
      <c r="D44" s="809">
        <f>+'F-CRes'!D4-('F-2 Estructura'!D37+'F-2 Estructura'!D39+'F-2 Estructura'!D41)</f>
        <v>19782781.408</v>
      </c>
      <c r="E44" s="809">
        <f>+'F-CRes'!E4-('F-2 Estructura'!E37+'F-2 Estructura'!E39+'F-2 Estructura'!E41)</f>
        <v>19782781.408</v>
      </c>
      <c r="F44" s="809">
        <f>+'F-CRes'!F4-('F-2 Estructura'!F37+'F-2 Estructura'!F39+'F-2 Estructura'!F41)</f>
        <v>19782781.408</v>
      </c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</row>
    <row r="45" spans="1:40" ht="16.5" thickBot="1" x14ac:dyDescent="0.3">
      <c r="A45" s="810" t="s">
        <v>160</v>
      </c>
      <c r="B45" s="811">
        <f>+(B38+B40+B42+B43)/B44</f>
        <v>0.52983042587394735</v>
      </c>
      <c r="C45" s="812">
        <f t="shared" ref="C45:F45" si="1">+(C38+C40+C42+C43)/C44</f>
        <v>0.47407103838537779</v>
      </c>
      <c r="D45" s="811">
        <f t="shared" si="1"/>
        <v>0.46735452819837908</v>
      </c>
      <c r="E45" s="811">
        <f t="shared" si="1"/>
        <v>0.45425751489689475</v>
      </c>
      <c r="F45" s="812">
        <f t="shared" si="1"/>
        <v>0.44530216798089656</v>
      </c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</row>
    <row r="46" spans="1:40" ht="16.5" thickTop="1" x14ac:dyDescent="0.25">
      <c r="A46" s="813"/>
      <c r="B46" s="814"/>
      <c r="C46" s="814"/>
      <c r="D46" s="814"/>
      <c r="E46" s="814"/>
      <c r="F46" s="814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</row>
    <row r="47" spans="1:40" ht="15.75" x14ac:dyDescent="0.25">
      <c r="A47" s="813"/>
      <c r="B47" s="814"/>
      <c r="C47" s="814"/>
      <c r="D47" s="814"/>
      <c r="E47" s="814"/>
      <c r="F47" s="814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</row>
    <row r="48" spans="1:40" ht="20.25" x14ac:dyDescent="0.3">
      <c r="A48" s="815" t="s">
        <v>705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</row>
    <row r="49" spans="1:40" ht="15.75" x14ac:dyDescent="0.25">
      <c r="A49" s="816"/>
      <c r="B49" s="817" t="s">
        <v>48</v>
      </c>
      <c r="C49" s="817" t="s">
        <v>89</v>
      </c>
      <c r="D49" s="817" t="s">
        <v>90</v>
      </c>
      <c r="E49" s="817" t="s">
        <v>91</v>
      </c>
      <c r="F49" s="817" t="s">
        <v>92</v>
      </c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</row>
    <row r="50" spans="1:40" ht="15" x14ac:dyDescent="0.2">
      <c r="A50" s="818" t="s">
        <v>706</v>
      </c>
      <c r="B50" s="819">
        <f>B37+B39+B41</f>
        <v>9226749.5277600009</v>
      </c>
      <c r="C50" s="819">
        <f>C37+C39+C41</f>
        <v>10217218.592</v>
      </c>
      <c r="D50" s="819">
        <f>D37+D39+D41</f>
        <v>10217218.592</v>
      </c>
      <c r="E50" s="819">
        <f>E37+E39+E41</f>
        <v>10217218.592</v>
      </c>
      <c r="F50" s="819">
        <f>F37+F39+F41</f>
        <v>10217218.592</v>
      </c>
      <c r="G50" s="138"/>
      <c r="H50" s="145"/>
      <c r="I50" s="144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</row>
    <row r="51" spans="1:40" ht="15" x14ac:dyDescent="0.2">
      <c r="A51" s="818" t="s">
        <v>707</v>
      </c>
      <c r="B51" s="819">
        <f>B38+B40+B42+B43</f>
        <v>8853864.0393801853</v>
      </c>
      <c r="C51" s="819">
        <f>C38+C40+C42+C43</f>
        <v>9378443.7242415063</v>
      </c>
      <c r="D51" s="819">
        <f>D38+D40+D42+D43</f>
        <v>9245572.4713875055</v>
      </c>
      <c r="E51" s="819">
        <f>E38+E40+E42+E43</f>
        <v>8986477.1201465726</v>
      </c>
      <c r="F51" s="819">
        <f>F38+F40+F42+F43</f>
        <v>8809315.4496745728</v>
      </c>
      <c r="G51" s="138"/>
      <c r="H51" s="820">
        <f>B55/100</f>
        <v>259375</v>
      </c>
      <c r="I51" s="144">
        <f>(E55-C55)/100</f>
        <v>92267.495277599985</v>
      </c>
      <c r="J51" s="821">
        <f>H55/100</f>
        <v>300000</v>
      </c>
      <c r="K51" s="138">
        <f>(K55-I55)/100</f>
        <v>102172.18592</v>
      </c>
      <c r="L51" s="138"/>
      <c r="M51" s="138"/>
      <c r="N51" s="138"/>
      <c r="O51" s="138"/>
      <c r="P51" s="138"/>
      <c r="Q51" s="138"/>
      <c r="R51" s="138"/>
      <c r="S51" s="138"/>
      <c r="T51" s="138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</row>
    <row r="52" spans="1:40" ht="15" x14ac:dyDescent="0.2">
      <c r="A52" s="138"/>
      <c r="B52" s="142"/>
      <c r="C52" s="142"/>
      <c r="D52" s="138"/>
      <c r="E52" s="138"/>
      <c r="F52" s="138"/>
      <c r="G52" s="138"/>
      <c r="H52" s="145"/>
      <c r="I52" s="144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</row>
    <row r="53" spans="1:40" ht="18.75" thickBot="1" x14ac:dyDescent="0.3">
      <c r="A53" s="138"/>
      <c r="B53" s="822" t="s">
        <v>48</v>
      </c>
      <c r="C53" s="142"/>
      <c r="D53" s="138"/>
      <c r="E53" s="138"/>
      <c r="F53" s="138"/>
      <c r="G53" s="138"/>
      <c r="H53" s="823" t="s">
        <v>92</v>
      </c>
      <c r="I53" s="144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</row>
    <row r="54" spans="1:40" ht="15.75" thickBot="1" x14ac:dyDescent="0.25">
      <c r="A54" s="138"/>
      <c r="B54" s="824" t="s">
        <v>708</v>
      </c>
      <c r="C54" s="825" t="s">
        <v>709</v>
      </c>
      <c r="D54" s="826" t="s">
        <v>710</v>
      </c>
      <c r="E54" s="826" t="s">
        <v>711</v>
      </c>
      <c r="F54" s="827" t="s">
        <v>712</v>
      </c>
      <c r="G54" s="138"/>
      <c r="H54" s="824" t="s">
        <v>708</v>
      </c>
      <c r="I54" s="825" t="s">
        <v>709</v>
      </c>
      <c r="J54" s="826" t="s">
        <v>710</v>
      </c>
      <c r="K54" s="826" t="s">
        <v>711</v>
      </c>
      <c r="L54" s="827" t="s">
        <v>712</v>
      </c>
      <c r="M54" s="138"/>
      <c r="N54" s="145"/>
      <c r="O54" s="144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</row>
    <row r="55" spans="1:40" ht="15" x14ac:dyDescent="0.2">
      <c r="A55" s="145">
        <v>0</v>
      </c>
      <c r="B55" s="146">
        <f>'E-Costos'!$B$88</f>
        <v>25937500</v>
      </c>
      <c r="C55" s="147">
        <f>$B$51</f>
        <v>8853864.0393801853</v>
      </c>
      <c r="D55" s="147">
        <v>0</v>
      </c>
      <c r="E55" s="147">
        <f>$B$50+$B$51</f>
        <v>18080613.567140184</v>
      </c>
      <c r="F55" s="148">
        <f>C55</f>
        <v>8853864.0393801853</v>
      </c>
      <c r="G55" s="145"/>
      <c r="H55" s="146">
        <f>'E-Costos'!$C$88</f>
        <v>30000000</v>
      </c>
      <c r="I55" s="147">
        <f>$F$51</f>
        <v>8809315.4496745728</v>
      </c>
      <c r="J55" s="147">
        <v>0</v>
      </c>
      <c r="K55" s="147">
        <f>$F$50+$F$51</f>
        <v>19026534.041674573</v>
      </c>
      <c r="L55" s="148">
        <f>I55</f>
        <v>8809315.4496745728</v>
      </c>
      <c r="M55" s="138"/>
      <c r="N55" s="145"/>
      <c r="O55" s="144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</row>
    <row r="56" spans="1:40" ht="15" x14ac:dyDescent="0.2">
      <c r="A56" s="145">
        <v>0.01</v>
      </c>
      <c r="B56" s="146">
        <f>'E-Costos'!$B$88</f>
        <v>25937500</v>
      </c>
      <c r="C56" s="147">
        <f t="shared" ref="C56:C119" si="2">$B$51</f>
        <v>8853864.0393801853</v>
      </c>
      <c r="D56" s="149">
        <f>H51</f>
        <v>259375</v>
      </c>
      <c r="E56" s="147">
        <f t="shared" ref="E56:E119" si="3">$B$50+$B$51</f>
        <v>18080613.567140184</v>
      </c>
      <c r="F56" s="150">
        <f>F55+$I$51</f>
        <v>8946131.5346577857</v>
      </c>
      <c r="G56" s="145"/>
      <c r="H56" s="146">
        <f>'E-Costos'!$C$88</f>
        <v>30000000</v>
      </c>
      <c r="I56" s="147">
        <f t="shared" ref="I56:I119" si="4">$F$51</f>
        <v>8809315.4496745728</v>
      </c>
      <c r="J56" s="149">
        <f>J51</f>
        <v>300000</v>
      </c>
      <c r="K56" s="147">
        <f t="shared" ref="K56:K119" si="5">$F$50+$F$51</f>
        <v>19026534.041674573</v>
      </c>
      <c r="L56" s="150">
        <f>L55+$K$51</f>
        <v>8911487.6355945729</v>
      </c>
      <c r="M56" s="138"/>
      <c r="N56" s="145"/>
      <c r="O56" s="144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</row>
    <row r="57" spans="1:40" ht="15" x14ac:dyDescent="0.2">
      <c r="A57" s="145">
        <v>0.02</v>
      </c>
      <c r="B57" s="146">
        <f>'E-Costos'!$B$88</f>
        <v>25937500</v>
      </c>
      <c r="C57" s="147">
        <f t="shared" si="2"/>
        <v>8853864.0393801853</v>
      </c>
      <c r="D57" s="149">
        <f>D56+$H$51</f>
        <v>518750</v>
      </c>
      <c r="E57" s="147">
        <f t="shared" si="3"/>
        <v>18080613.567140184</v>
      </c>
      <c r="F57" s="150">
        <f t="shared" ref="F57:F120" si="6">F56+$I$51</f>
        <v>9038399.029935386</v>
      </c>
      <c r="G57" s="145"/>
      <c r="H57" s="146">
        <f>'E-Costos'!$C$88</f>
        <v>30000000</v>
      </c>
      <c r="I57" s="147">
        <f t="shared" si="4"/>
        <v>8809315.4496745728</v>
      </c>
      <c r="J57" s="149">
        <f>J56+$J$51</f>
        <v>600000</v>
      </c>
      <c r="K57" s="147">
        <f t="shared" si="5"/>
        <v>19026534.041674573</v>
      </c>
      <c r="L57" s="150">
        <f t="shared" ref="L57:L120" si="7">L56+$K$51</f>
        <v>9013659.8215145729</v>
      </c>
      <c r="M57" s="138"/>
      <c r="N57" s="145"/>
      <c r="O57" s="144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</row>
    <row r="58" spans="1:40" ht="15" x14ac:dyDescent="0.2">
      <c r="A58" s="145">
        <v>0.03</v>
      </c>
      <c r="B58" s="146">
        <f>'E-Costos'!$B$88</f>
        <v>25937500</v>
      </c>
      <c r="C58" s="147">
        <f t="shared" si="2"/>
        <v>8853864.0393801853</v>
      </c>
      <c r="D58" s="149">
        <f t="shared" ref="D58:D121" si="8">D57+$H$51</f>
        <v>778125</v>
      </c>
      <c r="E58" s="147">
        <f t="shared" si="3"/>
        <v>18080613.567140184</v>
      </c>
      <c r="F58" s="150">
        <f t="shared" si="6"/>
        <v>9130666.5252129864</v>
      </c>
      <c r="G58" s="145"/>
      <c r="H58" s="146">
        <f>'E-Costos'!$C$88</f>
        <v>30000000</v>
      </c>
      <c r="I58" s="147">
        <f t="shared" si="4"/>
        <v>8809315.4496745728</v>
      </c>
      <c r="J58" s="149">
        <f t="shared" ref="J58:J121" si="9">J57+$J$51</f>
        <v>900000</v>
      </c>
      <c r="K58" s="147">
        <f t="shared" si="5"/>
        <v>19026534.041674573</v>
      </c>
      <c r="L58" s="150">
        <f t="shared" si="7"/>
        <v>9115832.007434573</v>
      </c>
      <c r="M58" s="138"/>
      <c r="N58" s="145"/>
      <c r="O58" s="144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</row>
    <row r="59" spans="1:40" ht="15" x14ac:dyDescent="0.2">
      <c r="A59" s="145">
        <v>0.04</v>
      </c>
      <c r="B59" s="146">
        <f>'E-Costos'!$B$88</f>
        <v>25937500</v>
      </c>
      <c r="C59" s="147">
        <f t="shared" si="2"/>
        <v>8853864.0393801853</v>
      </c>
      <c r="D59" s="149">
        <f t="shared" si="8"/>
        <v>1037500</v>
      </c>
      <c r="E59" s="147">
        <f t="shared" si="3"/>
        <v>18080613.567140184</v>
      </c>
      <c r="F59" s="150">
        <f t="shared" si="6"/>
        <v>9222934.0204905868</v>
      </c>
      <c r="G59" s="145"/>
      <c r="H59" s="146">
        <f>'E-Costos'!$C$88</f>
        <v>30000000</v>
      </c>
      <c r="I59" s="147">
        <f t="shared" si="4"/>
        <v>8809315.4496745728</v>
      </c>
      <c r="J59" s="149">
        <f t="shared" si="9"/>
        <v>1200000</v>
      </c>
      <c r="K59" s="147">
        <f t="shared" si="5"/>
        <v>19026534.041674573</v>
      </c>
      <c r="L59" s="150">
        <f t="shared" si="7"/>
        <v>9218004.1933545731</v>
      </c>
      <c r="M59" s="138"/>
      <c r="N59" s="145"/>
      <c r="O59" s="144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</row>
    <row r="60" spans="1:40" ht="15" x14ac:dyDescent="0.2">
      <c r="A60" s="145">
        <v>0.05</v>
      </c>
      <c r="B60" s="146">
        <f>'E-Costos'!$B$88</f>
        <v>25937500</v>
      </c>
      <c r="C60" s="147">
        <f t="shared" si="2"/>
        <v>8853864.0393801853</v>
      </c>
      <c r="D60" s="149">
        <f t="shared" si="8"/>
        <v>1296875</v>
      </c>
      <c r="E60" s="147">
        <f t="shared" si="3"/>
        <v>18080613.567140184</v>
      </c>
      <c r="F60" s="150">
        <f t="shared" si="6"/>
        <v>9315201.5157681871</v>
      </c>
      <c r="G60" s="145"/>
      <c r="H60" s="146">
        <f>'E-Costos'!$C$88</f>
        <v>30000000</v>
      </c>
      <c r="I60" s="147">
        <f t="shared" si="4"/>
        <v>8809315.4496745728</v>
      </c>
      <c r="J60" s="149">
        <f t="shared" si="9"/>
        <v>1500000</v>
      </c>
      <c r="K60" s="147">
        <f t="shared" si="5"/>
        <v>19026534.041674573</v>
      </c>
      <c r="L60" s="150">
        <f t="shared" si="7"/>
        <v>9320176.3792745732</v>
      </c>
      <c r="M60" s="138"/>
      <c r="N60" s="145"/>
      <c r="O60" s="144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</row>
    <row r="61" spans="1:40" ht="15" x14ac:dyDescent="0.2">
      <c r="A61" s="145">
        <v>0.06</v>
      </c>
      <c r="B61" s="146">
        <f>'E-Costos'!$B$88</f>
        <v>25937500</v>
      </c>
      <c r="C61" s="147">
        <f t="shared" si="2"/>
        <v>8853864.0393801853</v>
      </c>
      <c r="D61" s="149">
        <f t="shared" si="8"/>
        <v>1556250</v>
      </c>
      <c r="E61" s="147">
        <f t="shared" si="3"/>
        <v>18080613.567140184</v>
      </c>
      <c r="F61" s="150">
        <f t="shared" si="6"/>
        <v>9407469.0110457875</v>
      </c>
      <c r="G61" s="145"/>
      <c r="H61" s="146">
        <f>'E-Costos'!$C$88</f>
        <v>30000000</v>
      </c>
      <c r="I61" s="147">
        <f t="shared" si="4"/>
        <v>8809315.4496745728</v>
      </c>
      <c r="J61" s="149">
        <f t="shared" si="9"/>
        <v>1800000</v>
      </c>
      <c r="K61" s="147">
        <f t="shared" si="5"/>
        <v>19026534.041674573</v>
      </c>
      <c r="L61" s="150">
        <f t="shared" si="7"/>
        <v>9422348.5651945733</v>
      </c>
      <c r="M61" s="138"/>
      <c r="N61" s="145"/>
      <c r="O61" s="144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</row>
    <row r="62" spans="1:40" ht="15" x14ac:dyDescent="0.2">
      <c r="A62" s="145">
        <v>7.0000000000000007E-2</v>
      </c>
      <c r="B62" s="146">
        <f>'E-Costos'!$B$88</f>
        <v>25937500</v>
      </c>
      <c r="C62" s="147">
        <f t="shared" si="2"/>
        <v>8853864.0393801853</v>
      </c>
      <c r="D62" s="149">
        <f t="shared" si="8"/>
        <v>1815625</v>
      </c>
      <c r="E62" s="147">
        <f t="shared" si="3"/>
        <v>18080613.567140184</v>
      </c>
      <c r="F62" s="150">
        <f t="shared" si="6"/>
        <v>9499736.5063233878</v>
      </c>
      <c r="G62" s="145"/>
      <c r="H62" s="146">
        <f>'E-Costos'!$C$88</f>
        <v>30000000</v>
      </c>
      <c r="I62" s="147">
        <f t="shared" si="4"/>
        <v>8809315.4496745728</v>
      </c>
      <c r="J62" s="149">
        <f t="shared" si="9"/>
        <v>2100000</v>
      </c>
      <c r="K62" s="147">
        <f t="shared" si="5"/>
        <v>19026534.041674573</v>
      </c>
      <c r="L62" s="150">
        <f t="shared" si="7"/>
        <v>9524520.7511145733</v>
      </c>
      <c r="M62" s="138"/>
      <c r="N62" s="145"/>
      <c r="O62" s="144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</row>
    <row r="63" spans="1:40" ht="15" x14ac:dyDescent="0.2">
      <c r="A63" s="145">
        <v>0.08</v>
      </c>
      <c r="B63" s="146">
        <f>'E-Costos'!$B$88</f>
        <v>25937500</v>
      </c>
      <c r="C63" s="147">
        <f t="shared" si="2"/>
        <v>8853864.0393801853</v>
      </c>
      <c r="D63" s="149">
        <f t="shared" si="8"/>
        <v>2075000</v>
      </c>
      <c r="E63" s="147">
        <f t="shared" si="3"/>
        <v>18080613.567140184</v>
      </c>
      <c r="F63" s="150">
        <f t="shared" si="6"/>
        <v>9592004.0016009882</v>
      </c>
      <c r="G63" s="145"/>
      <c r="H63" s="146">
        <f>'E-Costos'!$C$88</f>
        <v>30000000</v>
      </c>
      <c r="I63" s="147">
        <f t="shared" si="4"/>
        <v>8809315.4496745728</v>
      </c>
      <c r="J63" s="149">
        <f t="shared" si="9"/>
        <v>2400000</v>
      </c>
      <c r="K63" s="147">
        <f t="shared" si="5"/>
        <v>19026534.041674573</v>
      </c>
      <c r="L63" s="150">
        <f t="shared" si="7"/>
        <v>9626692.9370345734</v>
      </c>
      <c r="M63" s="138"/>
      <c r="N63" s="145"/>
      <c r="O63" s="144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</row>
    <row r="64" spans="1:40" ht="15" x14ac:dyDescent="0.2">
      <c r="A64" s="145">
        <v>0.09</v>
      </c>
      <c r="B64" s="146">
        <f>'E-Costos'!$B$88</f>
        <v>25937500</v>
      </c>
      <c r="C64" s="147">
        <f t="shared" si="2"/>
        <v>8853864.0393801853</v>
      </c>
      <c r="D64" s="149">
        <f t="shared" si="8"/>
        <v>2334375</v>
      </c>
      <c r="E64" s="147">
        <f t="shared" si="3"/>
        <v>18080613.567140184</v>
      </c>
      <c r="F64" s="150">
        <f t="shared" si="6"/>
        <v>9684271.4968785886</v>
      </c>
      <c r="G64" s="145"/>
      <c r="H64" s="146">
        <f>'E-Costos'!$C$88</f>
        <v>30000000</v>
      </c>
      <c r="I64" s="147">
        <f t="shared" si="4"/>
        <v>8809315.4496745728</v>
      </c>
      <c r="J64" s="149">
        <f t="shared" si="9"/>
        <v>2700000</v>
      </c>
      <c r="K64" s="147">
        <f t="shared" si="5"/>
        <v>19026534.041674573</v>
      </c>
      <c r="L64" s="150">
        <f t="shared" si="7"/>
        <v>9728865.1229545735</v>
      </c>
      <c r="M64" s="138"/>
      <c r="N64" s="145"/>
      <c r="O64" s="144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</row>
    <row r="65" spans="1:40" ht="15" x14ac:dyDescent="0.2">
      <c r="A65" s="145">
        <v>0.1</v>
      </c>
      <c r="B65" s="146">
        <f>'E-Costos'!$B$88</f>
        <v>25937500</v>
      </c>
      <c r="C65" s="147">
        <f t="shared" si="2"/>
        <v>8853864.0393801853</v>
      </c>
      <c r="D65" s="149">
        <f t="shared" si="8"/>
        <v>2593750</v>
      </c>
      <c r="E65" s="147">
        <f t="shared" si="3"/>
        <v>18080613.567140184</v>
      </c>
      <c r="F65" s="150">
        <f t="shared" si="6"/>
        <v>9776538.9921561889</v>
      </c>
      <c r="G65" s="145"/>
      <c r="H65" s="146">
        <f>'E-Costos'!$C$88</f>
        <v>30000000</v>
      </c>
      <c r="I65" s="147">
        <f t="shared" si="4"/>
        <v>8809315.4496745728</v>
      </c>
      <c r="J65" s="149">
        <f t="shared" si="9"/>
        <v>3000000</v>
      </c>
      <c r="K65" s="147">
        <f t="shared" si="5"/>
        <v>19026534.041674573</v>
      </c>
      <c r="L65" s="150">
        <f t="shared" si="7"/>
        <v>9831037.3088745736</v>
      </c>
      <c r="M65" s="138"/>
      <c r="N65" s="145"/>
      <c r="O65" s="144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</row>
    <row r="66" spans="1:40" ht="15" x14ac:dyDescent="0.2">
      <c r="A66" s="145">
        <v>0.11</v>
      </c>
      <c r="B66" s="146">
        <f>'E-Costos'!$B$88</f>
        <v>25937500</v>
      </c>
      <c r="C66" s="147">
        <f t="shared" si="2"/>
        <v>8853864.0393801853</v>
      </c>
      <c r="D66" s="149">
        <f t="shared" si="8"/>
        <v>2853125</v>
      </c>
      <c r="E66" s="147">
        <f t="shared" si="3"/>
        <v>18080613.567140184</v>
      </c>
      <c r="F66" s="150">
        <f t="shared" si="6"/>
        <v>9868806.4874337893</v>
      </c>
      <c r="G66" s="145"/>
      <c r="H66" s="146">
        <f>'E-Costos'!$C$88</f>
        <v>30000000</v>
      </c>
      <c r="I66" s="147">
        <f t="shared" si="4"/>
        <v>8809315.4496745728</v>
      </c>
      <c r="J66" s="149">
        <f t="shared" si="9"/>
        <v>3300000</v>
      </c>
      <c r="K66" s="147">
        <f t="shared" si="5"/>
        <v>19026534.041674573</v>
      </c>
      <c r="L66" s="150">
        <f t="shared" si="7"/>
        <v>9933209.4947945736</v>
      </c>
      <c r="M66" s="138"/>
      <c r="N66" s="145"/>
      <c r="O66" s="144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</row>
    <row r="67" spans="1:40" ht="15" x14ac:dyDescent="0.2">
      <c r="A67" s="145">
        <v>0.12</v>
      </c>
      <c r="B67" s="146">
        <f>'E-Costos'!$B$88</f>
        <v>25937500</v>
      </c>
      <c r="C67" s="147">
        <f t="shared" si="2"/>
        <v>8853864.0393801853</v>
      </c>
      <c r="D67" s="149">
        <f t="shared" si="8"/>
        <v>3112500</v>
      </c>
      <c r="E67" s="147">
        <f t="shared" si="3"/>
        <v>18080613.567140184</v>
      </c>
      <c r="F67" s="150">
        <f t="shared" si="6"/>
        <v>9961073.9827113897</v>
      </c>
      <c r="G67" s="145"/>
      <c r="H67" s="146">
        <f>'E-Costos'!$C$88</f>
        <v>30000000</v>
      </c>
      <c r="I67" s="147">
        <f t="shared" si="4"/>
        <v>8809315.4496745728</v>
      </c>
      <c r="J67" s="149">
        <f t="shared" si="9"/>
        <v>3600000</v>
      </c>
      <c r="K67" s="147">
        <f t="shared" si="5"/>
        <v>19026534.041674573</v>
      </c>
      <c r="L67" s="150">
        <f t="shared" si="7"/>
        <v>10035381.680714574</v>
      </c>
      <c r="M67" s="138"/>
      <c r="N67" s="145"/>
      <c r="O67" s="144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</row>
    <row r="68" spans="1:40" ht="15" x14ac:dyDescent="0.2">
      <c r="A68" s="145">
        <v>0.13</v>
      </c>
      <c r="B68" s="146">
        <f>'E-Costos'!$B$88</f>
        <v>25937500</v>
      </c>
      <c r="C68" s="147">
        <f t="shared" si="2"/>
        <v>8853864.0393801853</v>
      </c>
      <c r="D68" s="149">
        <f t="shared" si="8"/>
        <v>3371875</v>
      </c>
      <c r="E68" s="147">
        <f t="shared" si="3"/>
        <v>18080613.567140184</v>
      </c>
      <c r="F68" s="150">
        <f t="shared" si="6"/>
        <v>10053341.47798899</v>
      </c>
      <c r="G68" s="145"/>
      <c r="H68" s="146">
        <f>'E-Costos'!$C$88</f>
        <v>30000000</v>
      </c>
      <c r="I68" s="147">
        <f t="shared" si="4"/>
        <v>8809315.4496745728</v>
      </c>
      <c r="J68" s="149">
        <f t="shared" si="9"/>
        <v>3900000</v>
      </c>
      <c r="K68" s="147">
        <f t="shared" si="5"/>
        <v>19026534.041674573</v>
      </c>
      <c r="L68" s="150">
        <f t="shared" si="7"/>
        <v>10137553.866634574</v>
      </c>
      <c r="M68" s="138"/>
      <c r="N68" s="145"/>
      <c r="O68" s="144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</row>
    <row r="69" spans="1:40" ht="15" x14ac:dyDescent="0.2">
      <c r="A69" s="145">
        <v>0.14000000000000001</v>
      </c>
      <c r="B69" s="146">
        <f>'E-Costos'!$B$88</f>
        <v>25937500</v>
      </c>
      <c r="C69" s="147">
        <f t="shared" si="2"/>
        <v>8853864.0393801853</v>
      </c>
      <c r="D69" s="149">
        <f t="shared" si="8"/>
        <v>3631250</v>
      </c>
      <c r="E69" s="147">
        <f t="shared" si="3"/>
        <v>18080613.567140184</v>
      </c>
      <c r="F69" s="150">
        <f t="shared" si="6"/>
        <v>10145608.97326659</v>
      </c>
      <c r="G69" s="145"/>
      <c r="H69" s="146">
        <f>'E-Costos'!$C$88</f>
        <v>30000000</v>
      </c>
      <c r="I69" s="147">
        <f t="shared" si="4"/>
        <v>8809315.4496745728</v>
      </c>
      <c r="J69" s="149">
        <f t="shared" si="9"/>
        <v>4200000</v>
      </c>
      <c r="K69" s="147">
        <f t="shared" si="5"/>
        <v>19026534.041674573</v>
      </c>
      <c r="L69" s="150">
        <f t="shared" si="7"/>
        <v>10239726.052554574</v>
      </c>
      <c r="M69" s="138"/>
      <c r="N69" s="145"/>
      <c r="O69" s="144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</row>
    <row r="70" spans="1:40" ht="15" x14ac:dyDescent="0.2">
      <c r="A70" s="145">
        <v>0.15</v>
      </c>
      <c r="B70" s="146">
        <f>'E-Costos'!$B$88</f>
        <v>25937500</v>
      </c>
      <c r="C70" s="147">
        <f t="shared" si="2"/>
        <v>8853864.0393801853</v>
      </c>
      <c r="D70" s="149">
        <f t="shared" si="8"/>
        <v>3890625</v>
      </c>
      <c r="E70" s="147">
        <f t="shared" si="3"/>
        <v>18080613.567140184</v>
      </c>
      <c r="F70" s="150">
        <f t="shared" si="6"/>
        <v>10237876.468544191</v>
      </c>
      <c r="G70" s="145"/>
      <c r="H70" s="146">
        <f>'E-Costos'!$C$88</f>
        <v>30000000</v>
      </c>
      <c r="I70" s="147">
        <f t="shared" si="4"/>
        <v>8809315.4496745728</v>
      </c>
      <c r="J70" s="149">
        <f t="shared" si="9"/>
        <v>4500000</v>
      </c>
      <c r="K70" s="147">
        <f t="shared" si="5"/>
        <v>19026534.041674573</v>
      </c>
      <c r="L70" s="150">
        <f t="shared" si="7"/>
        <v>10341898.238474574</v>
      </c>
      <c r="M70" s="138"/>
      <c r="N70" s="145"/>
      <c r="O70" s="144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</row>
    <row r="71" spans="1:40" ht="15" x14ac:dyDescent="0.2">
      <c r="A71" s="145">
        <v>0.16</v>
      </c>
      <c r="B71" s="146">
        <f>'E-Costos'!$B$88</f>
        <v>25937500</v>
      </c>
      <c r="C71" s="147">
        <f t="shared" si="2"/>
        <v>8853864.0393801853</v>
      </c>
      <c r="D71" s="149">
        <f t="shared" si="8"/>
        <v>4150000</v>
      </c>
      <c r="E71" s="147">
        <f t="shared" si="3"/>
        <v>18080613.567140184</v>
      </c>
      <c r="F71" s="150">
        <f t="shared" si="6"/>
        <v>10330143.963821791</v>
      </c>
      <c r="G71" s="145"/>
      <c r="H71" s="146">
        <f>'E-Costos'!$C$88</f>
        <v>30000000</v>
      </c>
      <c r="I71" s="147">
        <f t="shared" si="4"/>
        <v>8809315.4496745728</v>
      </c>
      <c r="J71" s="149">
        <f t="shared" si="9"/>
        <v>4800000</v>
      </c>
      <c r="K71" s="147">
        <f t="shared" si="5"/>
        <v>19026534.041674573</v>
      </c>
      <c r="L71" s="150">
        <f t="shared" si="7"/>
        <v>10444070.424394574</v>
      </c>
      <c r="M71" s="138"/>
      <c r="N71" s="145"/>
      <c r="O71" s="144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</row>
    <row r="72" spans="1:40" ht="15" x14ac:dyDescent="0.2">
      <c r="A72" s="145">
        <v>0.17</v>
      </c>
      <c r="B72" s="146">
        <f>'E-Costos'!$B$88</f>
        <v>25937500</v>
      </c>
      <c r="C72" s="147">
        <f t="shared" si="2"/>
        <v>8853864.0393801853</v>
      </c>
      <c r="D72" s="149">
        <f t="shared" si="8"/>
        <v>4409375</v>
      </c>
      <c r="E72" s="147">
        <f t="shared" si="3"/>
        <v>18080613.567140184</v>
      </c>
      <c r="F72" s="150">
        <f t="shared" si="6"/>
        <v>10422411.459099391</v>
      </c>
      <c r="G72" s="145"/>
      <c r="H72" s="146">
        <f>'E-Costos'!$C$88</f>
        <v>30000000</v>
      </c>
      <c r="I72" s="147">
        <f t="shared" si="4"/>
        <v>8809315.4496745728</v>
      </c>
      <c r="J72" s="149">
        <f t="shared" si="9"/>
        <v>5100000</v>
      </c>
      <c r="K72" s="147">
        <f t="shared" si="5"/>
        <v>19026534.041674573</v>
      </c>
      <c r="L72" s="150">
        <f t="shared" si="7"/>
        <v>10546242.610314574</v>
      </c>
      <c r="M72" s="138"/>
      <c r="N72" s="145"/>
      <c r="O72" s="144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</row>
    <row r="73" spans="1:40" ht="15" x14ac:dyDescent="0.2">
      <c r="A73" s="145">
        <v>0.18</v>
      </c>
      <c r="B73" s="146">
        <f>'E-Costos'!$B$88</f>
        <v>25937500</v>
      </c>
      <c r="C73" s="147">
        <f t="shared" si="2"/>
        <v>8853864.0393801853</v>
      </c>
      <c r="D73" s="149">
        <f t="shared" si="8"/>
        <v>4668750</v>
      </c>
      <c r="E73" s="147">
        <f t="shared" si="3"/>
        <v>18080613.567140184</v>
      </c>
      <c r="F73" s="150">
        <f t="shared" si="6"/>
        <v>10514678.954376992</v>
      </c>
      <c r="G73" s="145"/>
      <c r="H73" s="146">
        <f>'E-Costos'!$C$88</f>
        <v>30000000</v>
      </c>
      <c r="I73" s="147">
        <f t="shared" si="4"/>
        <v>8809315.4496745728</v>
      </c>
      <c r="J73" s="149">
        <f t="shared" si="9"/>
        <v>5400000</v>
      </c>
      <c r="K73" s="147">
        <f t="shared" si="5"/>
        <v>19026534.041674573</v>
      </c>
      <c r="L73" s="150">
        <f t="shared" si="7"/>
        <v>10648414.796234574</v>
      </c>
      <c r="M73" s="138"/>
      <c r="N73" s="145"/>
      <c r="O73" s="144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</row>
    <row r="74" spans="1:40" ht="15" x14ac:dyDescent="0.2">
      <c r="A74" s="145">
        <v>0.19</v>
      </c>
      <c r="B74" s="146">
        <f>'E-Costos'!$B$88</f>
        <v>25937500</v>
      </c>
      <c r="C74" s="147">
        <f t="shared" si="2"/>
        <v>8853864.0393801853</v>
      </c>
      <c r="D74" s="149">
        <f t="shared" si="8"/>
        <v>4928125</v>
      </c>
      <c r="E74" s="147">
        <f t="shared" si="3"/>
        <v>18080613.567140184</v>
      </c>
      <c r="F74" s="150">
        <f t="shared" si="6"/>
        <v>10606946.449654592</v>
      </c>
      <c r="G74" s="145"/>
      <c r="H74" s="146">
        <f>'E-Costos'!$C$88</f>
        <v>30000000</v>
      </c>
      <c r="I74" s="147">
        <f t="shared" si="4"/>
        <v>8809315.4496745728</v>
      </c>
      <c r="J74" s="149">
        <f t="shared" si="9"/>
        <v>5700000</v>
      </c>
      <c r="K74" s="147">
        <f t="shared" si="5"/>
        <v>19026534.041674573</v>
      </c>
      <c r="L74" s="150">
        <f t="shared" si="7"/>
        <v>10750586.982154574</v>
      </c>
      <c r="M74" s="138"/>
      <c r="N74" s="145"/>
      <c r="O74" s="144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</row>
    <row r="75" spans="1:40" ht="15" x14ac:dyDescent="0.2">
      <c r="A75" s="145">
        <v>0.2</v>
      </c>
      <c r="B75" s="146">
        <f>'E-Costos'!$B$88</f>
        <v>25937500</v>
      </c>
      <c r="C75" s="147">
        <f t="shared" si="2"/>
        <v>8853864.0393801853</v>
      </c>
      <c r="D75" s="149">
        <f t="shared" si="8"/>
        <v>5187500</v>
      </c>
      <c r="E75" s="147">
        <f t="shared" si="3"/>
        <v>18080613.567140184</v>
      </c>
      <c r="F75" s="150">
        <f t="shared" si="6"/>
        <v>10699213.944932193</v>
      </c>
      <c r="G75" s="145"/>
      <c r="H75" s="146">
        <f>'E-Costos'!$C$88</f>
        <v>30000000</v>
      </c>
      <c r="I75" s="147">
        <f t="shared" si="4"/>
        <v>8809315.4496745728</v>
      </c>
      <c r="J75" s="149">
        <f t="shared" si="9"/>
        <v>6000000</v>
      </c>
      <c r="K75" s="147">
        <f t="shared" si="5"/>
        <v>19026534.041674573</v>
      </c>
      <c r="L75" s="150">
        <f t="shared" si="7"/>
        <v>10852759.168074574</v>
      </c>
      <c r="M75" s="138"/>
      <c r="N75" s="145"/>
      <c r="O75" s="144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</row>
    <row r="76" spans="1:40" ht="15" x14ac:dyDescent="0.2">
      <c r="A76" s="145">
        <v>0.21</v>
      </c>
      <c r="B76" s="146">
        <f>'E-Costos'!$B$88</f>
        <v>25937500</v>
      </c>
      <c r="C76" s="147">
        <f t="shared" si="2"/>
        <v>8853864.0393801853</v>
      </c>
      <c r="D76" s="149">
        <f t="shared" si="8"/>
        <v>5446875</v>
      </c>
      <c r="E76" s="147">
        <f t="shared" si="3"/>
        <v>18080613.567140184</v>
      </c>
      <c r="F76" s="150">
        <f t="shared" si="6"/>
        <v>10791481.440209793</v>
      </c>
      <c r="G76" s="145"/>
      <c r="H76" s="146">
        <f>'E-Costos'!$C$88</f>
        <v>30000000</v>
      </c>
      <c r="I76" s="147">
        <f t="shared" si="4"/>
        <v>8809315.4496745728</v>
      </c>
      <c r="J76" s="149">
        <f t="shared" si="9"/>
        <v>6300000</v>
      </c>
      <c r="K76" s="147">
        <f t="shared" si="5"/>
        <v>19026534.041674573</v>
      </c>
      <c r="L76" s="150">
        <f t="shared" si="7"/>
        <v>10954931.353994574</v>
      </c>
      <c r="M76" s="138"/>
      <c r="N76" s="145"/>
      <c r="O76" s="144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</row>
    <row r="77" spans="1:40" ht="15" x14ac:dyDescent="0.2">
      <c r="A77" s="145">
        <v>0.22</v>
      </c>
      <c r="B77" s="146">
        <f>'E-Costos'!$B$88</f>
        <v>25937500</v>
      </c>
      <c r="C77" s="147">
        <f t="shared" si="2"/>
        <v>8853864.0393801853</v>
      </c>
      <c r="D77" s="149">
        <f t="shared" si="8"/>
        <v>5706250</v>
      </c>
      <c r="E77" s="147">
        <f t="shared" si="3"/>
        <v>18080613.567140184</v>
      </c>
      <c r="F77" s="150">
        <f t="shared" si="6"/>
        <v>10883748.935487393</v>
      </c>
      <c r="G77" s="145"/>
      <c r="H77" s="146">
        <f>'E-Costos'!$C$88</f>
        <v>30000000</v>
      </c>
      <c r="I77" s="147">
        <f t="shared" si="4"/>
        <v>8809315.4496745728</v>
      </c>
      <c r="J77" s="149">
        <f t="shared" si="9"/>
        <v>6600000</v>
      </c>
      <c r="K77" s="147">
        <f t="shared" si="5"/>
        <v>19026534.041674573</v>
      </c>
      <c r="L77" s="150">
        <f t="shared" si="7"/>
        <v>11057103.539914574</v>
      </c>
      <c r="M77" s="138"/>
      <c r="N77" s="145"/>
      <c r="O77" s="144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</row>
    <row r="78" spans="1:40" ht="15" x14ac:dyDescent="0.2">
      <c r="A78" s="145">
        <v>0.23</v>
      </c>
      <c r="B78" s="146">
        <f>'E-Costos'!$B$88</f>
        <v>25937500</v>
      </c>
      <c r="C78" s="147">
        <f t="shared" si="2"/>
        <v>8853864.0393801853</v>
      </c>
      <c r="D78" s="149">
        <f t="shared" si="8"/>
        <v>5965625</v>
      </c>
      <c r="E78" s="147">
        <f t="shared" si="3"/>
        <v>18080613.567140184</v>
      </c>
      <c r="F78" s="150">
        <f t="shared" si="6"/>
        <v>10976016.430764994</v>
      </c>
      <c r="G78" s="145"/>
      <c r="H78" s="146">
        <f>'E-Costos'!$C$88</f>
        <v>30000000</v>
      </c>
      <c r="I78" s="147">
        <f t="shared" si="4"/>
        <v>8809315.4496745728</v>
      </c>
      <c r="J78" s="149">
        <f t="shared" si="9"/>
        <v>6900000</v>
      </c>
      <c r="K78" s="147">
        <f t="shared" si="5"/>
        <v>19026534.041674573</v>
      </c>
      <c r="L78" s="150">
        <f t="shared" si="7"/>
        <v>11159275.725834575</v>
      </c>
      <c r="M78" s="138"/>
      <c r="N78" s="145"/>
      <c r="O78" s="144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</row>
    <row r="79" spans="1:40" ht="15" x14ac:dyDescent="0.2">
      <c r="A79" s="145">
        <v>0.24</v>
      </c>
      <c r="B79" s="146">
        <f>'E-Costos'!$B$88</f>
        <v>25937500</v>
      </c>
      <c r="C79" s="147">
        <f t="shared" si="2"/>
        <v>8853864.0393801853</v>
      </c>
      <c r="D79" s="149">
        <f t="shared" si="8"/>
        <v>6225000</v>
      </c>
      <c r="E79" s="147">
        <f t="shared" si="3"/>
        <v>18080613.567140184</v>
      </c>
      <c r="F79" s="150">
        <f t="shared" si="6"/>
        <v>11068283.926042594</v>
      </c>
      <c r="G79" s="145"/>
      <c r="H79" s="146">
        <f>'E-Costos'!$C$88</f>
        <v>30000000</v>
      </c>
      <c r="I79" s="147">
        <f t="shared" si="4"/>
        <v>8809315.4496745728</v>
      </c>
      <c r="J79" s="149">
        <f t="shared" si="9"/>
        <v>7200000</v>
      </c>
      <c r="K79" s="147">
        <f t="shared" si="5"/>
        <v>19026534.041674573</v>
      </c>
      <c r="L79" s="150">
        <f t="shared" si="7"/>
        <v>11261447.911754575</v>
      </c>
      <c r="M79" s="138"/>
      <c r="N79" s="145"/>
      <c r="O79" s="144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</row>
    <row r="80" spans="1:40" ht="15" x14ac:dyDescent="0.2">
      <c r="A80" s="145">
        <v>0.25</v>
      </c>
      <c r="B80" s="146">
        <f>'E-Costos'!$B$88</f>
        <v>25937500</v>
      </c>
      <c r="C80" s="147">
        <f t="shared" si="2"/>
        <v>8853864.0393801853</v>
      </c>
      <c r="D80" s="149">
        <f t="shared" si="8"/>
        <v>6484375</v>
      </c>
      <c r="E80" s="147">
        <f t="shared" si="3"/>
        <v>18080613.567140184</v>
      </c>
      <c r="F80" s="150">
        <f t="shared" si="6"/>
        <v>11160551.421320194</v>
      </c>
      <c r="G80" s="145"/>
      <c r="H80" s="146">
        <f>'E-Costos'!$C$88</f>
        <v>30000000</v>
      </c>
      <c r="I80" s="147">
        <f t="shared" si="4"/>
        <v>8809315.4496745728</v>
      </c>
      <c r="J80" s="149">
        <f t="shared" si="9"/>
        <v>7500000</v>
      </c>
      <c r="K80" s="147">
        <f t="shared" si="5"/>
        <v>19026534.041674573</v>
      </c>
      <c r="L80" s="150">
        <f t="shared" si="7"/>
        <v>11363620.097674575</v>
      </c>
      <c r="M80" s="138"/>
      <c r="N80" s="145"/>
      <c r="O80" s="144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</row>
    <row r="81" spans="1:40" ht="15" x14ac:dyDescent="0.2">
      <c r="A81" s="145">
        <v>0.26</v>
      </c>
      <c r="B81" s="146">
        <f>'E-Costos'!$B$88</f>
        <v>25937500</v>
      </c>
      <c r="C81" s="147">
        <f t="shared" si="2"/>
        <v>8853864.0393801853</v>
      </c>
      <c r="D81" s="149">
        <f t="shared" si="8"/>
        <v>6743750</v>
      </c>
      <c r="E81" s="147">
        <f t="shared" si="3"/>
        <v>18080613.567140184</v>
      </c>
      <c r="F81" s="150">
        <f t="shared" si="6"/>
        <v>11252818.916597795</v>
      </c>
      <c r="G81" s="145"/>
      <c r="H81" s="146">
        <f>'E-Costos'!$C$88</f>
        <v>30000000</v>
      </c>
      <c r="I81" s="147">
        <f t="shared" si="4"/>
        <v>8809315.4496745728</v>
      </c>
      <c r="J81" s="149">
        <f t="shared" si="9"/>
        <v>7800000</v>
      </c>
      <c r="K81" s="147">
        <f t="shared" si="5"/>
        <v>19026534.041674573</v>
      </c>
      <c r="L81" s="150">
        <f t="shared" si="7"/>
        <v>11465792.283594575</v>
      </c>
      <c r="M81" s="138"/>
      <c r="N81" s="145"/>
      <c r="O81" s="144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</row>
    <row r="82" spans="1:40" ht="15" x14ac:dyDescent="0.2">
      <c r="A82" s="145">
        <v>0.27</v>
      </c>
      <c r="B82" s="146">
        <f>'E-Costos'!$B$88</f>
        <v>25937500</v>
      </c>
      <c r="C82" s="147">
        <f t="shared" si="2"/>
        <v>8853864.0393801853</v>
      </c>
      <c r="D82" s="149">
        <f t="shared" si="8"/>
        <v>7003125</v>
      </c>
      <c r="E82" s="147">
        <f t="shared" si="3"/>
        <v>18080613.567140184</v>
      </c>
      <c r="F82" s="150">
        <f t="shared" si="6"/>
        <v>11345086.411875395</v>
      </c>
      <c r="G82" s="145"/>
      <c r="H82" s="146">
        <f>'E-Costos'!$C$88</f>
        <v>30000000</v>
      </c>
      <c r="I82" s="147">
        <f t="shared" si="4"/>
        <v>8809315.4496745728</v>
      </c>
      <c r="J82" s="149">
        <f t="shared" si="9"/>
        <v>8100000</v>
      </c>
      <c r="K82" s="147">
        <f t="shared" si="5"/>
        <v>19026534.041674573</v>
      </c>
      <c r="L82" s="150">
        <f t="shared" si="7"/>
        <v>11567964.469514575</v>
      </c>
      <c r="M82" s="138"/>
      <c r="N82" s="145"/>
      <c r="O82" s="144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</row>
    <row r="83" spans="1:40" ht="15" x14ac:dyDescent="0.2">
      <c r="A83" s="145">
        <v>0.28000000000000003</v>
      </c>
      <c r="B83" s="146">
        <f>'E-Costos'!$B$88</f>
        <v>25937500</v>
      </c>
      <c r="C83" s="147">
        <f t="shared" si="2"/>
        <v>8853864.0393801853</v>
      </c>
      <c r="D83" s="149">
        <f t="shared" si="8"/>
        <v>7262500</v>
      </c>
      <c r="E83" s="147">
        <f t="shared" si="3"/>
        <v>18080613.567140184</v>
      </c>
      <c r="F83" s="150">
        <f t="shared" si="6"/>
        <v>11437353.907152995</v>
      </c>
      <c r="G83" s="145"/>
      <c r="H83" s="146">
        <f>'E-Costos'!$C$88</f>
        <v>30000000</v>
      </c>
      <c r="I83" s="147">
        <f t="shared" si="4"/>
        <v>8809315.4496745728</v>
      </c>
      <c r="J83" s="149">
        <f t="shared" si="9"/>
        <v>8400000</v>
      </c>
      <c r="K83" s="147">
        <f t="shared" si="5"/>
        <v>19026534.041674573</v>
      </c>
      <c r="L83" s="150">
        <f t="shared" si="7"/>
        <v>11670136.655434575</v>
      </c>
      <c r="M83" s="138"/>
      <c r="N83" s="145"/>
      <c r="O83" s="144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</row>
    <row r="84" spans="1:40" ht="15" x14ac:dyDescent="0.2">
      <c r="A84" s="145">
        <v>0.28999999999999998</v>
      </c>
      <c r="B84" s="146">
        <f>'E-Costos'!$B$88</f>
        <v>25937500</v>
      </c>
      <c r="C84" s="147">
        <f t="shared" si="2"/>
        <v>8853864.0393801853</v>
      </c>
      <c r="D84" s="149">
        <f t="shared" si="8"/>
        <v>7521875</v>
      </c>
      <c r="E84" s="147">
        <f t="shared" si="3"/>
        <v>18080613.567140184</v>
      </c>
      <c r="F84" s="150">
        <f t="shared" si="6"/>
        <v>11529621.402430596</v>
      </c>
      <c r="G84" s="145"/>
      <c r="H84" s="146">
        <f>'E-Costos'!$C$88</f>
        <v>30000000</v>
      </c>
      <c r="I84" s="147">
        <f t="shared" si="4"/>
        <v>8809315.4496745728</v>
      </c>
      <c r="J84" s="149">
        <f t="shared" si="9"/>
        <v>8700000</v>
      </c>
      <c r="K84" s="147">
        <f t="shared" si="5"/>
        <v>19026534.041674573</v>
      </c>
      <c r="L84" s="150">
        <f t="shared" si="7"/>
        <v>11772308.841354575</v>
      </c>
      <c r="M84" s="138"/>
      <c r="N84" s="145"/>
      <c r="O84" s="144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</row>
    <row r="85" spans="1:40" ht="15" x14ac:dyDescent="0.2">
      <c r="A85" s="145">
        <v>0.3</v>
      </c>
      <c r="B85" s="146">
        <f>'E-Costos'!$B$88</f>
        <v>25937500</v>
      </c>
      <c r="C85" s="147">
        <f t="shared" si="2"/>
        <v>8853864.0393801853</v>
      </c>
      <c r="D85" s="149">
        <f t="shared" si="8"/>
        <v>7781250</v>
      </c>
      <c r="E85" s="147">
        <f t="shared" si="3"/>
        <v>18080613.567140184</v>
      </c>
      <c r="F85" s="150">
        <f t="shared" si="6"/>
        <v>11621888.897708196</v>
      </c>
      <c r="G85" s="145"/>
      <c r="H85" s="146">
        <f>'E-Costos'!$C$88</f>
        <v>30000000</v>
      </c>
      <c r="I85" s="147">
        <f t="shared" si="4"/>
        <v>8809315.4496745728</v>
      </c>
      <c r="J85" s="149">
        <f t="shared" si="9"/>
        <v>9000000</v>
      </c>
      <c r="K85" s="147">
        <f t="shared" si="5"/>
        <v>19026534.041674573</v>
      </c>
      <c r="L85" s="150">
        <f t="shared" si="7"/>
        <v>11874481.027274575</v>
      </c>
      <c r="M85" s="138"/>
      <c r="N85" s="145"/>
      <c r="O85" s="144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</row>
    <row r="86" spans="1:40" ht="15" x14ac:dyDescent="0.2">
      <c r="A86" s="145">
        <v>0.31</v>
      </c>
      <c r="B86" s="146">
        <f>'E-Costos'!$B$88</f>
        <v>25937500</v>
      </c>
      <c r="C86" s="147">
        <f t="shared" si="2"/>
        <v>8853864.0393801853</v>
      </c>
      <c r="D86" s="149">
        <f t="shared" si="8"/>
        <v>8040625</v>
      </c>
      <c r="E86" s="147">
        <f t="shared" si="3"/>
        <v>18080613.567140184</v>
      </c>
      <c r="F86" s="150">
        <f t="shared" si="6"/>
        <v>11714156.392985797</v>
      </c>
      <c r="G86" s="145"/>
      <c r="H86" s="146">
        <f>'E-Costos'!$C$88</f>
        <v>30000000</v>
      </c>
      <c r="I86" s="147">
        <f t="shared" si="4"/>
        <v>8809315.4496745728</v>
      </c>
      <c r="J86" s="149">
        <f t="shared" si="9"/>
        <v>9300000</v>
      </c>
      <c r="K86" s="147">
        <f t="shared" si="5"/>
        <v>19026534.041674573</v>
      </c>
      <c r="L86" s="150">
        <f t="shared" si="7"/>
        <v>11976653.213194575</v>
      </c>
      <c r="M86" s="138"/>
      <c r="N86" s="145"/>
      <c r="O86" s="144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</row>
    <row r="87" spans="1:40" ht="15" x14ac:dyDescent="0.2">
      <c r="A87" s="145">
        <v>0.32</v>
      </c>
      <c r="B87" s="146">
        <f>'E-Costos'!$B$88</f>
        <v>25937500</v>
      </c>
      <c r="C87" s="147">
        <f t="shared" si="2"/>
        <v>8853864.0393801853</v>
      </c>
      <c r="D87" s="149">
        <f t="shared" si="8"/>
        <v>8300000</v>
      </c>
      <c r="E87" s="147">
        <f t="shared" si="3"/>
        <v>18080613.567140184</v>
      </c>
      <c r="F87" s="150">
        <f t="shared" si="6"/>
        <v>11806423.888263397</v>
      </c>
      <c r="G87" s="145"/>
      <c r="H87" s="146">
        <f>'E-Costos'!$C$88</f>
        <v>30000000</v>
      </c>
      <c r="I87" s="147">
        <f t="shared" si="4"/>
        <v>8809315.4496745728</v>
      </c>
      <c r="J87" s="149">
        <f t="shared" si="9"/>
        <v>9600000</v>
      </c>
      <c r="K87" s="147">
        <f t="shared" si="5"/>
        <v>19026534.041674573</v>
      </c>
      <c r="L87" s="150">
        <f t="shared" si="7"/>
        <v>12078825.399114575</v>
      </c>
      <c r="M87" s="138"/>
      <c r="N87" s="145"/>
      <c r="O87" s="144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</row>
    <row r="88" spans="1:40" ht="15" x14ac:dyDescent="0.2">
      <c r="A88" s="145">
        <v>0.33</v>
      </c>
      <c r="B88" s="146">
        <f>'E-Costos'!$B$88</f>
        <v>25937500</v>
      </c>
      <c r="C88" s="147">
        <f t="shared" si="2"/>
        <v>8853864.0393801853</v>
      </c>
      <c r="D88" s="149">
        <f t="shared" si="8"/>
        <v>8559375</v>
      </c>
      <c r="E88" s="147">
        <f t="shared" si="3"/>
        <v>18080613.567140184</v>
      </c>
      <c r="F88" s="150">
        <f t="shared" si="6"/>
        <v>11898691.383540997</v>
      </c>
      <c r="G88" s="145"/>
      <c r="H88" s="146">
        <f>'E-Costos'!$C$88</f>
        <v>30000000</v>
      </c>
      <c r="I88" s="147">
        <f t="shared" si="4"/>
        <v>8809315.4496745728</v>
      </c>
      <c r="J88" s="149">
        <f t="shared" si="9"/>
        <v>9900000</v>
      </c>
      <c r="K88" s="147">
        <f t="shared" si="5"/>
        <v>19026534.041674573</v>
      </c>
      <c r="L88" s="150">
        <f t="shared" si="7"/>
        <v>12180997.585034575</v>
      </c>
      <c r="M88" s="138"/>
      <c r="N88" s="145"/>
      <c r="O88" s="144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</row>
    <row r="89" spans="1:40" ht="15" x14ac:dyDescent="0.2">
      <c r="A89" s="145">
        <v>0.34</v>
      </c>
      <c r="B89" s="146">
        <f>'E-Costos'!$B$88</f>
        <v>25937500</v>
      </c>
      <c r="C89" s="147">
        <f t="shared" si="2"/>
        <v>8853864.0393801853</v>
      </c>
      <c r="D89" s="149">
        <f t="shared" si="8"/>
        <v>8818750</v>
      </c>
      <c r="E89" s="147">
        <f t="shared" si="3"/>
        <v>18080613.567140184</v>
      </c>
      <c r="F89" s="150">
        <f t="shared" si="6"/>
        <v>11990958.878818598</v>
      </c>
      <c r="G89" s="145"/>
      <c r="H89" s="146">
        <f>'E-Costos'!$C$88</f>
        <v>30000000</v>
      </c>
      <c r="I89" s="147">
        <f t="shared" si="4"/>
        <v>8809315.4496745728</v>
      </c>
      <c r="J89" s="149">
        <f t="shared" si="9"/>
        <v>10200000</v>
      </c>
      <c r="K89" s="147">
        <f t="shared" si="5"/>
        <v>19026534.041674573</v>
      </c>
      <c r="L89" s="150">
        <f t="shared" si="7"/>
        <v>12283169.770954575</v>
      </c>
      <c r="M89" s="138"/>
      <c r="N89" s="145"/>
      <c r="O89" s="144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</row>
    <row r="90" spans="1:40" ht="15" x14ac:dyDescent="0.2">
      <c r="A90" s="145">
        <v>0.35</v>
      </c>
      <c r="B90" s="146">
        <f>'E-Costos'!$B$88</f>
        <v>25937500</v>
      </c>
      <c r="C90" s="147">
        <f t="shared" si="2"/>
        <v>8853864.0393801853</v>
      </c>
      <c r="D90" s="149">
        <f t="shared" si="8"/>
        <v>9078125</v>
      </c>
      <c r="E90" s="147">
        <f t="shared" si="3"/>
        <v>18080613.567140184</v>
      </c>
      <c r="F90" s="150">
        <f t="shared" si="6"/>
        <v>12083226.374096198</v>
      </c>
      <c r="G90" s="145"/>
      <c r="H90" s="146">
        <f>'E-Costos'!$C$88</f>
        <v>30000000</v>
      </c>
      <c r="I90" s="147">
        <f t="shared" si="4"/>
        <v>8809315.4496745728</v>
      </c>
      <c r="J90" s="149">
        <f t="shared" si="9"/>
        <v>10500000</v>
      </c>
      <c r="K90" s="147">
        <f t="shared" si="5"/>
        <v>19026534.041674573</v>
      </c>
      <c r="L90" s="150">
        <f t="shared" si="7"/>
        <v>12385341.956874575</v>
      </c>
      <c r="M90" s="138"/>
      <c r="N90" s="145"/>
      <c r="O90" s="144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</row>
    <row r="91" spans="1:40" ht="15" x14ac:dyDescent="0.2">
      <c r="A91" s="145">
        <v>0.36</v>
      </c>
      <c r="B91" s="146">
        <f>'E-Costos'!$B$88</f>
        <v>25937500</v>
      </c>
      <c r="C91" s="147">
        <f t="shared" si="2"/>
        <v>8853864.0393801853</v>
      </c>
      <c r="D91" s="149">
        <f t="shared" si="8"/>
        <v>9337500</v>
      </c>
      <c r="E91" s="147">
        <f t="shared" si="3"/>
        <v>18080613.567140184</v>
      </c>
      <c r="F91" s="150">
        <f t="shared" si="6"/>
        <v>12175493.869373798</v>
      </c>
      <c r="G91" s="145"/>
      <c r="H91" s="146">
        <f>'E-Costos'!$C$88</f>
        <v>30000000</v>
      </c>
      <c r="I91" s="147">
        <f t="shared" si="4"/>
        <v>8809315.4496745728</v>
      </c>
      <c r="J91" s="149">
        <f t="shared" si="9"/>
        <v>10800000</v>
      </c>
      <c r="K91" s="147">
        <f t="shared" si="5"/>
        <v>19026534.041674573</v>
      </c>
      <c r="L91" s="150">
        <f t="shared" si="7"/>
        <v>12487514.142794576</v>
      </c>
      <c r="M91" s="138"/>
      <c r="N91" s="145"/>
      <c r="O91" s="144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</row>
    <row r="92" spans="1:40" ht="15" x14ac:dyDescent="0.2">
      <c r="A92" s="145">
        <v>0.37</v>
      </c>
      <c r="B92" s="146">
        <f>'E-Costos'!$B$88</f>
        <v>25937500</v>
      </c>
      <c r="C92" s="147">
        <f t="shared" si="2"/>
        <v>8853864.0393801853</v>
      </c>
      <c r="D92" s="149">
        <f t="shared" si="8"/>
        <v>9596875</v>
      </c>
      <c r="E92" s="147">
        <f t="shared" si="3"/>
        <v>18080613.567140184</v>
      </c>
      <c r="F92" s="150">
        <f t="shared" si="6"/>
        <v>12267761.364651399</v>
      </c>
      <c r="G92" s="145"/>
      <c r="H92" s="146">
        <f>'E-Costos'!$C$88</f>
        <v>30000000</v>
      </c>
      <c r="I92" s="147">
        <f t="shared" si="4"/>
        <v>8809315.4496745728</v>
      </c>
      <c r="J92" s="149">
        <f t="shared" si="9"/>
        <v>11100000</v>
      </c>
      <c r="K92" s="147">
        <f t="shared" si="5"/>
        <v>19026534.041674573</v>
      </c>
      <c r="L92" s="150">
        <f t="shared" si="7"/>
        <v>12589686.328714576</v>
      </c>
      <c r="M92" s="138"/>
      <c r="N92" s="145"/>
      <c r="O92" s="144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</row>
    <row r="93" spans="1:40" ht="15" x14ac:dyDescent="0.2">
      <c r="A93" s="145">
        <v>0.38</v>
      </c>
      <c r="B93" s="146">
        <f>'E-Costos'!$B$88</f>
        <v>25937500</v>
      </c>
      <c r="C93" s="147">
        <f t="shared" si="2"/>
        <v>8853864.0393801853</v>
      </c>
      <c r="D93" s="149">
        <f t="shared" si="8"/>
        <v>9856250</v>
      </c>
      <c r="E93" s="147">
        <f t="shared" si="3"/>
        <v>18080613.567140184</v>
      </c>
      <c r="F93" s="150">
        <f t="shared" si="6"/>
        <v>12360028.859928999</v>
      </c>
      <c r="G93" s="145"/>
      <c r="H93" s="146">
        <f>'E-Costos'!$C$88</f>
        <v>30000000</v>
      </c>
      <c r="I93" s="147">
        <f t="shared" si="4"/>
        <v>8809315.4496745728</v>
      </c>
      <c r="J93" s="149">
        <f t="shared" si="9"/>
        <v>11400000</v>
      </c>
      <c r="K93" s="147">
        <f t="shared" si="5"/>
        <v>19026534.041674573</v>
      </c>
      <c r="L93" s="150">
        <f t="shared" si="7"/>
        <v>12691858.514634576</v>
      </c>
      <c r="M93" s="138"/>
      <c r="N93" s="145"/>
      <c r="O93" s="144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</row>
    <row r="94" spans="1:40" ht="15" x14ac:dyDescent="0.2">
      <c r="A94" s="145">
        <v>0.39</v>
      </c>
      <c r="B94" s="146">
        <f>'E-Costos'!$B$88</f>
        <v>25937500</v>
      </c>
      <c r="C94" s="147">
        <f t="shared" si="2"/>
        <v>8853864.0393801853</v>
      </c>
      <c r="D94" s="149">
        <f t="shared" si="8"/>
        <v>10115625</v>
      </c>
      <c r="E94" s="147">
        <f t="shared" si="3"/>
        <v>18080613.567140184</v>
      </c>
      <c r="F94" s="150">
        <f t="shared" si="6"/>
        <v>12452296.355206599</v>
      </c>
      <c r="G94" s="145"/>
      <c r="H94" s="146">
        <f>'E-Costos'!$C$88</f>
        <v>30000000</v>
      </c>
      <c r="I94" s="147">
        <f t="shared" si="4"/>
        <v>8809315.4496745728</v>
      </c>
      <c r="J94" s="149">
        <f t="shared" si="9"/>
        <v>11700000</v>
      </c>
      <c r="K94" s="147">
        <f t="shared" si="5"/>
        <v>19026534.041674573</v>
      </c>
      <c r="L94" s="150">
        <f t="shared" si="7"/>
        <v>12794030.700554576</v>
      </c>
      <c r="M94" s="138"/>
      <c r="N94" s="145"/>
      <c r="O94" s="144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</row>
    <row r="95" spans="1:40" ht="15" x14ac:dyDescent="0.2">
      <c r="A95" s="145">
        <v>0.4</v>
      </c>
      <c r="B95" s="146">
        <f>'E-Costos'!$B$88</f>
        <v>25937500</v>
      </c>
      <c r="C95" s="147">
        <f t="shared" si="2"/>
        <v>8853864.0393801853</v>
      </c>
      <c r="D95" s="149">
        <f t="shared" si="8"/>
        <v>10375000</v>
      </c>
      <c r="E95" s="147">
        <f t="shared" si="3"/>
        <v>18080613.567140184</v>
      </c>
      <c r="F95" s="150">
        <f t="shared" si="6"/>
        <v>12544563.8504842</v>
      </c>
      <c r="G95" s="145"/>
      <c r="H95" s="146">
        <f>'E-Costos'!$C$88</f>
        <v>30000000</v>
      </c>
      <c r="I95" s="147">
        <f t="shared" si="4"/>
        <v>8809315.4496745728</v>
      </c>
      <c r="J95" s="149">
        <f t="shared" si="9"/>
        <v>12000000</v>
      </c>
      <c r="K95" s="147">
        <f t="shared" si="5"/>
        <v>19026534.041674573</v>
      </c>
      <c r="L95" s="150">
        <f t="shared" si="7"/>
        <v>12896202.886474576</v>
      </c>
      <c r="M95" s="138"/>
      <c r="N95" s="145"/>
      <c r="O95" s="144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</row>
    <row r="96" spans="1:40" ht="15" x14ac:dyDescent="0.2">
      <c r="A96" s="145">
        <v>0.41</v>
      </c>
      <c r="B96" s="146">
        <f>'E-Costos'!$B$88</f>
        <v>25937500</v>
      </c>
      <c r="C96" s="147">
        <f t="shared" si="2"/>
        <v>8853864.0393801853</v>
      </c>
      <c r="D96" s="149">
        <f t="shared" si="8"/>
        <v>10634375</v>
      </c>
      <c r="E96" s="147">
        <f t="shared" si="3"/>
        <v>18080613.567140184</v>
      </c>
      <c r="F96" s="150">
        <f t="shared" si="6"/>
        <v>12636831.3457618</v>
      </c>
      <c r="G96" s="145"/>
      <c r="H96" s="146">
        <f>'E-Costos'!$C$88</f>
        <v>30000000</v>
      </c>
      <c r="I96" s="147">
        <f t="shared" si="4"/>
        <v>8809315.4496745728</v>
      </c>
      <c r="J96" s="149">
        <f t="shared" si="9"/>
        <v>12300000</v>
      </c>
      <c r="K96" s="147">
        <f t="shared" si="5"/>
        <v>19026534.041674573</v>
      </c>
      <c r="L96" s="150">
        <f t="shared" si="7"/>
        <v>12998375.072394576</v>
      </c>
      <c r="M96" s="138"/>
      <c r="N96" s="145"/>
      <c r="O96" s="144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</row>
    <row r="97" spans="1:40" ht="15" x14ac:dyDescent="0.2">
      <c r="A97" s="145">
        <v>0.42</v>
      </c>
      <c r="B97" s="146">
        <f>'E-Costos'!$B$88</f>
        <v>25937500</v>
      </c>
      <c r="C97" s="147">
        <f t="shared" si="2"/>
        <v>8853864.0393801853</v>
      </c>
      <c r="D97" s="149">
        <f t="shared" si="8"/>
        <v>10893750</v>
      </c>
      <c r="E97" s="147">
        <f t="shared" si="3"/>
        <v>18080613.567140184</v>
      </c>
      <c r="F97" s="150">
        <f t="shared" si="6"/>
        <v>12729098.841039401</v>
      </c>
      <c r="G97" s="145"/>
      <c r="H97" s="146">
        <f>'E-Costos'!$C$88</f>
        <v>30000000</v>
      </c>
      <c r="I97" s="147">
        <f t="shared" si="4"/>
        <v>8809315.4496745728</v>
      </c>
      <c r="J97" s="149">
        <f t="shared" si="9"/>
        <v>12600000</v>
      </c>
      <c r="K97" s="147">
        <f t="shared" si="5"/>
        <v>19026534.041674573</v>
      </c>
      <c r="L97" s="150">
        <f t="shared" si="7"/>
        <v>13100547.258314576</v>
      </c>
      <c r="M97" s="138"/>
      <c r="N97" s="145"/>
      <c r="O97" s="144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</row>
    <row r="98" spans="1:40" ht="15" x14ac:dyDescent="0.2">
      <c r="A98" s="145">
        <v>0.43</v>
      </c>
      <c r="B98" s="146">
        <f>'E-Costos'!$B$88</f>
        <v>25937500</v>
      </c>
      <c r="C98" s="147">
        <f t="shared" si="2"/>
        <v>8853864.0393801853</v>
      </c>
      <c r="D98" s="149">
        <f t="shared" si="8"/>
        <v>11153125</v>
      </c>
      <c r="E98" s="147">
        <f t="shared" si="3"/>
        <v>18080613.567140184</v>
      </c>
      <c r="F98" s="150">
        <f t="shared" si="6"/>
        <v>12821366.336317001</v>
      </c>
      <c r="G98" s="145"/>
      <c r="H98" s="146">
        <f>'E-Costos'!$C$88</f>
        <v>30000000</v>
      </c>
      <c r="I98" s="147">
        <f t="shared" si="4"/>
        <v>8809315.4496745728</v>
      </c>
      <c r="J98" s="149">
        <f t="shared" si="9"/>
        <v>12900000</v>
      </c>
      <c r="K98" s="147">
        <f t="shared" si="5"/>
        <v>19026534.041674573</v>
      </c>
      <c r="L98" s="150">
        <f t="shared" si="7"/>
        <v>13202719.444234576</v>
      </c>
      <c r="M98" s="138"/>
      <c r="N98" s="145"/>
      <c r="O98" s="144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</row>
    <row r="99" spans="1:40" ht="15" x14ac:dyDescent="0.2">
      <c r="A99" s="145">
        <v>0.44</v>
      </c>
      <c r="B99" s="146">
        <f>'E-Costos'!$B$88</f>
        <v>25937500</v>
      </c>
      <c r="C99" s="147">
        <f t="shared" si="2"/>
        <v>8853864.0393801853</v>
      </c>
      <c r="D99" s="149">
        <f t="shared" si="8"/>
        <v>11412500</v>
      </c>
      <c r="E99" s="147">
        <f t="shared" si="3"/>
        <v>18080613.567140184</v>
      </c>
      <c r="F99" s="150">
        <f t="shared" si="6"/>
        <v>12913633.831594601</v>
      </c>
      <c r="G99" s="145"/>
      <c r="H99" s="146">
        <f>'E-Costos'!$C$88</f>
        <v>30000000</v>
      </c>
      <c r="I99" s="147">
        <f t="shared" si="4"/>
        <v>8809315.4496745728</v>
      </c>
      <c r="J99" s="149">
        <f t="shared" si="9"/>
        <v>13200000</v>
      </c>
      <c r="K99" s="147">
        <f t="shared" si="5"/>
        <v>19026534.041674573</v>
      </c>
      <c r="L99" s="150">
        <f t="shared" si="7"/>
        <v>13304891.630154576</v>
      </c>
      <c r="M99" s="138"/>
      <c r="N99" s="145"/>
      <c r="O99" s="144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</row>
    <row r="100" spans="1:40" ht="15" x14ac:dyDescent="0.2">
      <c r="A100" s="145">
        <v>0.45</v>
      </c>
      <c r="B100" s="146">
        <f>'E-Costos'!$B$88</f>
        <v>25937500</v>
      </c>
      <c r="C100" s="147">
        <f t="shared" si="2"/>
        <v>8853864.0393801853</v>
      </c>
      <c r="D100" s="149">
        <f t="shared" si="8"/>
        <v>11671875</v>
      </c>
      <c r="E100" s="147">
        <f t="shared" si="3"/>
        <v>18080613.567140184</v>
      </c>
      <c r="F100" s="150">
        <f t="shared" si="6"/>
        <v>13005901.326872202</v>
      </c>
      <c r="G100" s="145"/>
      <c r="H100" s="146">
        <f>'E-Costos'!$C$88</f>
        <v>30000000</v>
      </c>
      <c r="I100" s="147">
        <f t="shared" si="4"/>
        <v>8809315.4496745728</v>
      </c>
      <c r="J100" s="149">
        <f t="shared" si="9"/>
        <v>13500000</v>
      </c>
      <c r="K100" s="147">
        <f t="shared" si="5"/>
        <v>19026534.041674573</v>
      </c>
      <c r="L100" s="150">
        <f t="shared" si="7"/>
        <v>13407063.816074576</v>
      </c>
      <c r="M100" s="138"/>
      <c r="N100" s="145"/>
      <c r="O100" s="144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</row>
    <row r="101" spans="1:40" ht="15" x14ac:dyDescent="0.2">
      <c r="A101" s="145">
        <v>0.46</v>
      </c>
      <c r="B101" s="146">
        <f>'E-Costos'!$B$88</f>
        <v>25937500</v>
      </c>
      <c r="C101" s="147">
        <f t="shared" si="2"/>
        <v>8853864.0393801853</v>
      </c>
      <c r="D101" s="149">
        <f t="shared" si="8"/>
        <v>11931250</v>
      </c>
      <c r="E101" s="147">
        <f t="shared" si="3"/>
        <v>18080613.567140184</v>
      </c>
      <c r="F101" s="150">
        <f t="shared" si="6"/>
        <v>13098168.822149802</v>
      </c>
      <c r="G101" s="145"/>
      <c r="H101" s="146">
        <f>'E-Costos'!$C$88</f>
        <v>30000000</v>
      </c>
      <c r="I101" s="147">
        <f t="shared" si="4"/>
        <v>8809315.4496745728</v>
      </c>
      <c r="J101" s="149">
        <f t="shared" si="9"/>
        <v>13800000</v>
      </c>
      <c r="K101" s="147">
        <f t="shared" si="5"/>
        <v>19026534.041674573</v>
      </c>
      <c r="L101" s="150">
        <f t="shared" si="7"/>
        <v>13509236.001994576</v>
      </c>
      <c r="M101" s="138"/>
      <c r="N101" s="145"/>
      <c r="O101" s="144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</row>
    <row r="102" spans="1:40" ht="15" x14ac:dyDescent="0.2">
      <c r="A102" s="145">
        <v>0.47</v>
      </c>
      <c r="B102" s="146">
        <f>'E-Costos'!$B$88</f>
        <v>25937500</v>
      </c>
      <c r="C102" s="147">
        <f t="shared" si="2"/>
        <v>8853864.0393801853</v>
      </c>
      <c r="D102" s="149">
        <f t="shared" si="8"/>
        <v>12190625</v>
      </c>
      <c r="E102" s="147">
        <f t="shared" si="3"/>
        <v>18080613.567140184</v>
      </c>
      <c r="F102" s="150">
        <f t="shared" si="6"/>
        <v>13190436.317427402</v>
      </c>
      <c r="G102" s="145"/>
      <c r="H102" s="146">
        <f>'E-Costos'!$C$88</f>
        <v>30000000</v>
      </c>
      <c r="I102" s="147">
        <f t="shared" si="4"/>
        <v>8809315.4496745728</v>
      </c>
      <c r="J102" s="149">
        <f t="shared" si="9"/>
        <v>14100000</v>
      </c>
      <c r="K102" s="147">
        <f t="shared" si="5"/>
        <v>19026534.041674573</v>
      </c>
      <c r="L102" s="150">
        <f t="shared" si="7"/>
        <v>13611408.187914576</v>
      </c>
      <c r="M102" s="138"/>
      <c r="N102" s="145"/>
      <c r="O102" s="144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</row>
    <row r="103" spans="1:40" ht="15" x14ac:dyDescent="0.2">
      <c r="A103" s="145">
        <v>0.48</v>
      </c>
      <c r="B103" s="146">
        <f>'E-Costos'!$B$88</f>
        <v>25937500</v>
      </c>
      <c r="C103" s="147">
        <f t="shared" si="2"/>
        <v>8853864.0393801853</v>
      </c>
      <c r="D103" s="149">
        <f t="shared" si="8"/>
        <v>12450000</v>
      </c>
      <c r="E103" s="147">
        <f t="shared" si="3"/>
        <v>18080613.567140184</v>
      </c>
      <c r="F103" s="150">
        <f t="shared" si="6"/>
        <v>13282703.812705003</v>
      </c>
      <c r="G103" s="145"/>
      <c r="H103" s="146">
        <f>'E-Costos'!$C$88</f>
        <v>30000000</v>
      </c>
      <c r="I103" s="147">
        <f t="shared" si="4"/>
        <v>8809315.4496745728</v>
      </c>
      <c r="J103" s="149">
        <f t="shared" si="9"/>
        <v>14400000</v>
      </c>
      <c r="K103" s="147">
        <f t="shared" si="5"/>
        <v>19026534.041674573</v>
      </c>
      <c r="L103" s="150">
        <f t="shared" si="7"/>
        <v>13713580.373834576</v>
      </c>
      <c r="M103" s="138"/>
      <c r="N103" s="145"/>
      <c r="O103" s="144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</row>
    <row r="104" spans="1:40" ht="15" x14ac:dyDescent="0.2">
      <c r="A104" s="145">
        <v>0.49</v>
      </c>
      <c r="B104" s="146">
        <f>'E-Costos'!$B$88</f>
        <v>25937500</v>
      </c>
      <c r="C104" s="147">
        <f t="shared" si="2"/>
        <v>8853864.0393801853</v>
      </c>
      <c r="D104" s="149">
        <f t="shared" si="8"/>
        <v>12709375</v>
      </c>
      <c r="E104" s="147">
        <f t="shared" si="3"/>
        <v>18080613.567140184</v>
      </c>
      <c r="F104" s="150">
        <f t="shared" si="6"/>
        <v>13374971.307982603</v>
      </c>
      <c r="G104" s="145"/>
      <c r="H104" s="146">
        <f>'E-Costos'!$C$88</f>
        <v>30000000</v>
      </c>
      <c r="I104" s="147">
        <f t="shared" si="4"/>
        <v>8809315.4496745728</v>
      </c>
      <c r="J104" s="149">
        <f t="shared" si="9"/>
        <v>14700000</v>
      </c>
      <c r="K104" s="147">
        <f t="shared" si="5"/>
        <v>19026534.041674573</v>
      </c>
      <c r="L104" s="150">
        <f t="shared" si="7"/>
        <v>13815752.559754577</v>
      </c>
      <c r="M104" s="138"/>
      <c r="N104" s="145"/>
      <c r="O104" s="144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</row>
    <row r="105" spans="1:40" ht="15" x14ac:dyDescent="0.2">
      <c r="A105" s="145">
        <v>0.5</v>
      </c>
      <c r="B105" s="146">
        <f>'E-Costos'!$B$88</f>
        <v>25937500</v>
      </c>
      <c r="C105" s="147">
        <f t="shared" si="2"/>
        <v>8853864.0393801853</v>
      </c>
      <c r="D105" s="149">
        <f t="shared" si="8"/>
        <v>12968750</v>
      </c>
      <c r="E105" s="147">
        <f t="shared" si="3"/>
        <v>18080613.567140184</v>
      </c>
      <c r="F105" s="150">
        <f t="shared" si="6"/>
        <v>13467238.803260203</v>
      </c>
      <c r="G105" s="145"/>
      <c r="H105" s="146">
        <f>'E-Costos'!$C$88</f>
        <v>30000000</v>
      </c>
      <c r="I105" s="147">
        <f t="shared" si="4"/>
        <v>8809315.4496745728</v>
      </c>
      <c r="J105" s="149">
        <f t="shared" si="9"/>
        <v>15000000</v>
      </c>
      <c r="K105" s="147">
        <f t="shared" si="5"/>
        <v>19026534.041674573</v>
      </c>
      <c r="L105" s="150">
        <f t="shared" si="7"/>
        <v>13917924.745674577</v>
      </c>
      <c r="M105" s="138"/>
      <c r="N105" s="145"/>
      <c r="O105" s="144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</row>
    <row r="106" spans="1:40" ht="15" x14ac:dyDescent="0.2">
      <c r="A106" s="145">
        <v>0.51</v>
      </c>
      <c r="B106" s="146">
        <f>'E-Costos'!$B$88</f>
        <v>25937500</v>
      </c>
      <c r="C106" s="147">
        <f t="shared" si="2"/>
        <v>8853864.0393801853</v>
      </c>
      <c r="D106" s="149">
        <f t="shared" si="8"/>
        <v>13228125</v>
      </c>
      <c r="E106" s="147">
        <f t="shared" si="3"/>
        <v>18080613.567140184</v>
      </c>
      <c r="F106" s="150">
        <f t="shared" si="6"/>
        <v>13559506.298537804</v>
      </c>
      <c r="G106" s="145"/>
      <c r="H106" s="146">
        <f>'E-Costos'!$C$88</f>
        <v>30000000</v>
      </c>
      <c r="I106" s="147">
        <f t="shared" si="4"/>
        <v>8809315.4496745728</v>
      </c>
      <c r="J106" s="149">
        <f t="shared" si="9"/>
        <v>15300000</v>
      </c>
      <c r="K106" s="147">
        <f t="shared" si="5"/>
        <v>19026534.041674573</v>
      </c>
      <c r="L106" s="150">
        <f t="shared" si="7"/>
        <v>14020096.931594577</v>
      </c>
      <c r="M106" s="138"/>
      <c r="N106" s="145"/>
      <c r="O106" s="144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</row>
    <row r="107" spans="1:40" ht="15" x14ac:dyDescent="0.2">
      <c r="A107" s="145">
        <v>0.52</v>
      </c>
      <c r="B107" s="146">
        <f>'E-Costos'!$B$88</f>
        <v>25937500</v>
      </c>
      <c r="C107" s="147">
        <f t="shared" si="2"/>
        <v>8853864.0393801853</v>
      </c>
      <c r="D107" s="149">
        <f t="shared" si="8"/>
        <v>13487500</v>
      </c>
      <c r="E107" s="147">
        <f t="shared" si="3"/>
        <v>18080613.567140184</v>
      </c>
      <c r="F107" s="150">
        <f t="shared" si="6"/>
        <v>13651773.793815404</v>
      </c>
      <c r="G107" s="145"/>
      <c r="H107" s="146">
        <f>'E-Costos'!$C$88</f>
        <v>30000000</v>
      </c>
      <c r="I107" s="147">
        <f t="shared" si="4"/>
        <v>8809315.4496745728</v>
      </c>
      <c r="J107" s="149">
        <f t="shared" si="9"/>
        <v>15600000</v>
      </c>
      <c r="K107" s="147">
        <f t="shared" si="5"/>
        <v>19026534.041674573</v>
      </c>
      <c r="L107" s="150">
        <f t="shared" si="7"/>
        <v>14122269.117514577</v>
      </c>
      <c r="M107" s="138"/>
      <c r="N107" s="145"/>
      <c r="O107" s="144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</row>
    <row r="108" spans="1:40" ht="15" x14ac:dyDescent="0.2">
      <c r="A108" s="145">
        <v>0.53</v>
      </c>
      <c r="B108" s="146">
        <f>'E-Costos'!$B$88</f>
        <v>25937500</v>
      </c>
      <c r="C108" s="147">
        <f t="shared" si="2"/>
        <v>8853864.0393801853</v>
      </c>
      <c r="D108" s="149">
        <f t="shared" si="8"/>
        <v>13746875</v>
      </c>
      <c r="E108" s="147">
        <f t="shared" si="3"/>
        <v>18080613.567140184</v>
      </c>
      <c r="F108" s="150">
        <f t="shared" si="6"/>
        <v>13744041.289093005</v>
      </c>
      <c r="G108" s="145"/>
      <c r="H108" s="146">
        <f>'E-Costos'!$C$88</f>
        <v>30000000</v>
      </c>
      <c r="I108" s="147">
        <f t="shared" si="4"/>
        <v>8809315.4496745728</v>
      </c>
      <c r="J108" s="149">
        <f t="shared" si="9"/>
        <v>15900000</v>
      </c>
      <c r="K108" s="147">
        <f t="shared" si="5"/>
        <v>19026534.041674573</v>
      </c>
      <c r="L108" s="150">
        <f t="shared" si="7"/>
        <v>14224441.303434577</v>
      </c>
      <c r="M108" s="138"/>
      <c r="N108" s="145"/>
      <c r="O108" s="144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</row>
    <row r="109" spans="1:40" ht="15" x14ac:dyDescent="0.2">
      <c r="A109" s="145">
        <v>0.54</v>
      </c>
      <c r="B109" s="146">
        <f>'E-Costos'!$B$88</f>
        <v>25937500</v>
      </c>
      <c r="C109" s="147">
        <f t="shared" si="2"/>
        <v>8853864.0393801853</v>
      </c>
      <c r="D109" s="149">
        <f t="shared" si="8"/>
        <v>14006250</v>
      </c>
      <c r="E109" s="147">
        <f t="shared" si="3"/>
        <v>18080613.567140184</v>
      </c>
      <c r="F109" s="150">
        <f t="shared" si="6"/>
        <v>13836308.784370605</v>
      </c>
      <c r="G109" s="145"/>
      <c r="H109" s="146">
        <f>'E-Costos'!$C$88</f>
        <v>30000000</v>
      </c>
      <c r="I109" s="147">
        <f t="shared" si="4"/>
        <v>8809315.4496745728</v>
      </c>
      <c r="J109" s="149">
        <f t="shared" si="9"/>
        <v>16200000</v>
      </c>
      <c r="K109" s="147">
        <f t="shared" si="5"/>
        <v>19026534.041674573</v>
      </c>
      <c r="L109" s="150">
        <f t="shared" si="7"/>
        <v>14326613.489354577</v>
      </c>
      <c r="M109" s="138"/>
      <c r="N109" s="145"/>
      <c r="O109" s="144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</row>
    <row r="110" spans="1:40" ht="15" x14ac:dyDescent="0.2">
      <c r="A110" s="145">
        <v>0.55000000000000004</v>
      </c>
      <c r="B110" s="146">
        <f>'E-Costos'!$B$88</f>
        <v>25937500</v>
      </c>
      <c r="C110" s="147">
        <f t="shared" si="2"/>
        <v>8853864.0393801853</v>
      </c>
      <c r="D110" s="149">
        <f t="shared" si="8"/>
        <v>14265625</v>
      </c>
      <c r="E110" s="147">
        <f t="shared" si="3"/>
        <v>18080613.567140184</v>
      </c>
      <c r="F110" s="150">
        <f t="shared" si="6"/>
        <v>13928576.279648205</v>
      </c>
      <c r="G110" s="145"/>
      <c r="H110" s="146">
        <f>'E-Costos'!$C$88</f>
        <v>30000000</v>
      </c>
      <c r="I110" s="147">
        <f t="shared" si="4"/>
        <v>8809315.4496745728</v>
      </c>
      <c r="J110" s="149">
        <f t="shared" si="9"/>
        <v>16500000</v>
      </c>
      <c r="K110" s="147">
        <f t="shared" si="5"/>
        <v>19026534.041674573</v>
      </c>
      <c r="L110" s="150">
        <f t="shared" si="7"/>
        <v>14428785.675274577</v>
      </c>
      <c r="M110" s="138"/>
      <c r="N110" s="145"/>
      <c r="O110" s="144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</row>
    <row r="111" spans="1:40" ht="15" x14ac:dyDescent="0.2">
      <c r="A111" s="145">
        <v>0.56000000000000005</v>
      </c>
      <c r="B111" s="146">
        <f>'E-Costos'!$B$88</f>
        <v>25937500</v>
      </c>
      <c r="C111" s="147">
        <f t="shared" si="2"/>
        <v>8853864.0393801853</v>
      </c>
      <c r="D111" s="149">
        <f t="shared" si="8"/>
        <v>14525000</v>
      </c>
      <c r="E111" s="147">
        <f t="shared" si="3"/>
        <v>18080613.567140184</v>
      </c>
      <c r="F111" s="150">
        <f t="shared" si="6"/>
        <v>14020843.774925806</v>
      </c>
      <c r="G111" s="145"/>
      <c r="H111" s="146">
        <f>'E-Costos'!$C$88</f>
        <v>30000000</v>
      </c>
      <c r="I111" s="147">
        <f t="shared" si="4"/>
        <v>8809315.4496745728</v>
      </c>
      <c r="J111" s="149">
        <f t="shared" si="9"/>
        <v>16800000</v>
      </c>
      <c r="K111" s="147">
        <f t="shared" si="5"/>
        <v>19026534.041674573</v>
      </c>
      <c r="L111" s="150">
        <f t="shared" si="7"/>
        <v>14530957.861194577</v>
      </c>
      <c r="M111" s="138"/>
      <c r="N111" s="145"/>
      <c r="O111" s="144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</row>
    <row r="112" spans="1:40" ht="15" x14ac:dyDescent="0.2">
      <c r="A112" s="145">
        <v>0.56999999999999995</v>
      </c>
      <c r="B112" s="146">
        <f>'E-Costos'!$B$88</f>
        <v>25937500</v>
      </c>
      <c r="C112" s="147">
        <f t="shared" si="2"/>
        <v>8853864.0393801853</v>
      </c>
      <c r="D112" s="149">
        <f t="shared" si="8"/>
        <v>14784375</v>
      </c>
      <c r="E112" s="147">
        <f t="shared" si="3"/>
        <v>18080613.567140184</v>
      </c>
      <c r="F112" s="150">
        <f t="shared" si="6"/>
        <v>14113111.270203406</v>
      </c>
      <c r="G112" s="145"/>
      <c r="H112" s="146">
        <f>'E-Costos'!$C$88</f>
        <v>30000000</v>
      </c>
      <c r="I112" s="147">
        <f t="shared" si="4"/>
        <v>8809315.4496745728</v>
      </c>
      <c r="J112" s="149">
        <f t="shared" si="9"/>
        <v>17100000</v>
      </c>
      <c r="K112" s="147">
        <f t="shared" si="5"/>
        <v>19026534.041674573</v>
      </c>
      <c r="L112" s="150">
        <f t="shared" si="7"/>
        <v>14633130.047114577</v>
      </c>
      <c r="M112" s="138"/>
      <c r="N112" s="145"/>
      <c r="O112" s="144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</row>
    <row r="113" spans="1:40" ht="15" x14ac:dyDescent="0.2">
      <c r="A113" s="145">
        <v>0.57999999999999996</v>
      </c>
      <c r="B113" s="146">
        <f>'E-Costos'!$B$88</f>
        <v>25937500</v>
      </c>
      <c r="C113" s="147">
        <f t="shared" si="2"/>
        <v>8853864.0393801853</v>
      </c>
      <c r="D113" s="149">
        <f t="shared" si="8"/>
        <v>15043750</v>
      </c>
      <c r="E113" s="147">
        <f t="shared" si="3"/>
        <v>18080613.567140184</v>
      </c>
      <c r="F113" s="150">
        <f t="shared" si="6"/>
        <v>14205378.765481006</v>
      </c>
      <c r="G113" s="145"/>
      <c r="H113" s="146">
        <f>'E-Costos'!$C$88</f>
        <v>30000000</v>
      </c>
      <c r="I113" s="147">
        <f t="shared" si="4"/>
        <v>8809315.4496745728</v>
      </c>
      <c r="J113" s="149">
        <f t="shared" si="9"/>
        <v>17400000</v>
      </c>
      <c r="K113" s="147">
        <f t="shared" si="5"/>
        <v>19026534.041674573</v>
      </c>
      <c r="L113" s="150">
        <f t="shared" si="7"/>
        <v>14735302.233034577</v>
      </c>
      <c r="M113" s="138"/>
      <c r="N113" s="145"/>
      <c r="O113" s="144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</row>
    <row r="114" spans="1:40" ht="15" x14ac:dyDescent="0.2">
      <c r="A114" s="145">
        <v>0.59</v>
      </c>
      <c r="B114" s="146">
        <f>'E-Costos'!$B$88</f>
        <v>25937500</v>
      </c>
      <c r="C114" s="147">
        <f t="shared" si="2"/>
        <v>8853864.0393801853</v>
      </c>
      <c r="D114" s="149">
        <f t="shared" si="8"/>
        <v>15303125</v>
      </c>
      <c r="E114" s="147">
        <f t="shared" si="3"/>
        <v>18080613.567140184</v>
      </c>
      <c r="F114" s="150">
        <f t="shared" si="6"/>
        <v>14297646.260758607</v>
      </c>
      <c r="G114" s="145"/>
      <c r="H114" s="146">
        <f>'E-Costos'!$C$88</f>
        <v>30000000</v>
      </c>
      <c r="I114" s="147">
        <f t="shared" si="4"/>
        <v>8809315.4496745728</v>
      </c>
      <c r="J114" s="149">
        <f t="shared" si="9"/>
        <v>17700000</v>
      </c>
      <c r="K114" s="147">
        <f t="shared" si="5"/>
        <v>19026534.041674573</v>
      </c>
      <c r="L114" s="150">
        <f t="shared" si="7"/>
        <v>14837474.418954577</v>
      </c>
      <c r="M114" s="138"/>
      <c r="N114" s="145"/>
      <c r="O114" s="144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</row>
    <row r="115" spans="1:40" ht="15" x14ac:dyDescent="0.2">
      <c r="A115" s="145">
        <v>0.6</v>
      </c>
      <c r="B115" s="146">
        <f>'E-Costos'!$B$88</f>
        <v>25937500</v>
      </c>
      <c r="C115" s="147">
        <f t="shared" si="2"/>
        <v>8853864.0393801853</v>
      </c>
      <c r="D115" s="149">
        <f t="shared" si="8"/>
        <v>15562500</v>
      </c>
      <c r="E115" s="147">
        <f t="shared" si="3"/>
        <v>18080613.567140184</v>
      </c>
      <c r="F115" s="150">
        <f t="shared" si="6"/>
        <v>14389913.756036207</v>
      </c>
      <c r="G115" s="145"/>
      <c r="H115" s="146">
        <f>'E-Costos'!$C$88</f>
        <v>30000000</v>
      </c>
      <c r="I115" s="147">
        <f t="shared" si="4"/>
        <v>8809315.4496745728</v>
      </c>
      <c r="J115" s="149">
        <f t="shared" si="9"/>
        <v>18000000</v>
      </c>
      <c r="K115" s="147">
        <f t="shared" si="5"/>
        <v>19026534.041674573</v>
      </c>
      <c r="L115" s="150">
        <f t="shared" si="7"/>
        <v>14939646.604874577</v>
      </c>
      <c r="M115" s="138"/>
      <c r="N115" s="145"/>
      <c r="O115" s="144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</row>
    <row r="116" spans="1:40" ht="15" x14ac:dyDescent="0.2">
      <c r="A116" s="145">
        <v>0.61</v>
      </c>
      <c r="B116" s="146">
        <f>'E-Costos'!$B$88</f>
        <v>25937500</v>
      </c>
      <c r="C116" s="147">
        <f t="shared" si="2"/>
        <v>8853864.0393801853</v>
      </c>
      <c r="D116" s="149">
        <f t="shared" si="8"/>
        <v>15821875</v>
      </c>
      <c r="E116" s="147">
        <f t="shared" si="3"/>
        <v>18080613.567140184</v>
      </c>
      <c r="F116" s="150">
        <f t="shared" si="6"/>
        <v>14482181.251313807</v>
      </c>
      <c r="G116" s="145"/>
      <c r="H116" s="146">
        <f>'E-Costos'!$C$88</f>
        <v>30000000</v>
      </c>
      <c r="I116" s="147">
        <f t="shared" si="4"/>
        <v>8809315.4496745728</v>
      </c>
      <c r="J116" s="149">
        <f t="shared" si="9"/>
        <v>18300000</v>
      </c>
      <c r="K116" s="147">
        <f t="shared" si="5"/>
        <v>19026534.041674573</v>
      </c>
      <c r="L116" s="150">
        <f t="shared" si="7"/>
        <v>15041818.790794577</v>
      </c>
      <c r="M116" s="138"/>
      <c r="N116" s="145"/>
      <c r="O116" s="144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</row>
    <row r="117" spans="1:40" ht="15" x14ac:dyDescent="0.2">
      <c r="A117" s="145">
        <v>0.62</v>
      </c>
      <c r="B117" s="146">
        <f>'E-Costos'!$B$88</f>
        <v>25937500</v>
      </c>
      <c r="C117" s="147">
        <f t="shared" si="2"/>
        <v>8853864.0393801853</v>
      </c>
      <c r="D117" s="149">
        <f t="shared" si="8"/>
        <v>16081250</v>
      </c>
      <c r="E117" s="147">
        <f t="shared" si="3"/>
        <v>18080613.567140184</v>
      </c>
      <c r="F117" s="150">
        <f t="shared" si="6"/>
        <v>14574448.746591408</v>
      </c>
      <c r="G117" s="145"/>
      <c r="H117" s="146">
        <f>'E-Costos'!$C$88</f>
        <v>30000000</v>
      </c>
      <c r="I117" s="147">
        <f t="shared" si="4"/>
        <v>8809315.4496745728</v>
      </c>
      <c r="J117" s="149">
        <f t="shared" si="9"/>
        <v>18600000</v>
      </c>
      <c r="K117" s="147">
        <f t="shared" si="5"/>
        <v>19026534.041674573</v>
      </c>
      <c r="L117" s="150">
        <f t="shared" si="7"/>
        <v>15143990.976714578</v>
      </c>
      <c r="M117" s="138"/>
      <c r="N117" s="145"/>
      <c r="O117" s="144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</row>
    <row r="118" spans="1:40" ht="15" x14ac:dyDescent="0.2">
      <c r="A118" s="145">
        <v>0.63</v>
      </c>
      <c r="B118" s="146">
        <f>'E-Costos'!$B$88</f>
        <v>25937500</v>
      </c>
      <c r="C118" s="147">
        <f t="shared" si="2"/>
        <v>8853864.0393801853</v>
      </c>
      <c r="D118" s="149">
        <f t="shared" si="8"/>
        <v>16340625</v>
      </c>
      <c r="E118" s="147">
        <f t="shared" si="3"/>
        <v>18080613.567140184</v>
      </c>
      <c r="F118" s="150">
        <f t="shared" si="6"/>
        <v>14666716.241869008</v>
      </c>
      <c r="G118" s="145"/>
      <c r="H118" s="146">
        <f>'E-Costos'!$C$88</f>
        <v>30000000</v>
      </c>
      <c r="I118" s="147">
        <f t="shared" si="4"/>
        <v>8809315.4496745728</v>
      </c>
      <c r="J118" s="149">
        <f t="shared" si="9"/>
        <v>18900000</v>
      </c>
      <c r="K118" s="147">
        <f t="shared" si="5"/>
        <v>19026534.041674573</v>
      </c>
      <c r="L118" s="150">
        <f t="shared" si="7"/>
        <v>15246163.162634578</v>
      </c>
      <c r="M118" s="138"/>
      <c r="N118" s="145"/>
      <c r="O118" s="144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</row>
    <row r="119" spans="1:40" ht="15" x14ac:dyDescent="0.2">
      <c r="A119" s="145">
        <v>0.64</v>
      </c>
      <c r="B119" s="146">
        <f>'E-Costos'!$B$88</f>
        <v>25937500</v>
      </c>
      <c r="C119" s="147">
        <f t="shared" si="2"/>
        <v>8853864.0393801853</v>
      </c>
      <c r="D119" s="149">
        <f t="shared" si="8"/>
        <v>16600000</v>
      </c>
      <c r="E119" s="147">
        <f t="shared" si="3"/>
        <v>18080613.567140184</v>
      </c>
      <c r="F119" s="150">
        <f t="shared" si="6"/>
        <v>14758983.737146609</v>
      </c>
      <c r="G119" s="145"/>
      <c r="H119" s="146">
        <f>'E-Costos'!$C$88</f>
        <v>30000000</v>
      </c>
      <c r="I119" s="147">
        <f t="shared" si="4"/>
        <v>8809315.4496745728</v>
      </c>
      <c r="J119" s="149">
        <f t="shared" si="9"/>
        <v>19200000</v>
      </c>
      <c r="K119" s="147">
        <f t="shared" si="5"/>
        <v>19026534.041674573</v>
      </c>
      <c r="L119" s="150">
        <f t="shared" si="7"/>
        <v>15348335.348554578</v>
      </c>
      <c r="M119" s="138"/>
      <c r="N119" s="145"/>
      <c r="O119" s="144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</row>
    <row r="120" spans="1:40" ht="15" x14ac:dyDescent="0.2">
      <c r="A120" s="145">
        <v>0.65</v>
      </c>
      <c r="B120" s="146">
        <f>'E-Costos'!$B$88</f>
        <v>25937500</v>
      </c>
      <c r="C120" s="147">
        <f t="shared" ref="C120:C155" si="10">$B$51</f>
        <v>8853864.0393801853</v>
      </c>
      <c r="D120" s="149">
        <f t="shared" si="8"/>
        <v>16859375</v>
      </c>
      <c r="E120" s="147">
        <f t="shared" ref="E120:E155" si="11">$B$50+$B$51</f>
        <v>18080613.567140184</v>
      </c>
      <c r="F120" s="150">
        <f t="shared" si="6"/>
        <v>14851251.232424209</v>
      </c>
      <c r="G120" s="145"/>
      <c r="H120" s="146">
        <f>'E-Costos'!$C$88</f>
        <v>30000000</v>
      </c>
      <c r="I120" s="147">
        <f t="shared" ref="I120:I155" si="12">$F$51</f>
        <v>8809315.4496745728</v>
      </c>
      <c r="J120" s="149">
        <f t="shared" si="9"/>
        <v>19500000</v>
      </c>
      <c r="K120" s="147">
        <f t="shared" ref="K120:K155" si="13">$F$50+$F$51</f>
        <v>19026534.041674573</v>
      </c>
      <c r="L120" s="150">
        <f t="shared" si="7"/>
        <v>15450507.534474578</v>
      </c>
      <c r="M120" s="138"/>
      <c r="N120" s="145"/>
      <c r="O120" s="144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</row>
    <row r="121" spans="1:40" ht="15" x14ac:dyDescent="0.2">
      <c r="A121" s="145">
        <v>0.66</v>
      </c>
      <c r="B121" s="146">
        <f>'E-Costos'!$B$88</f>
        <v>25937500</v>
      </c>
      <c r="C121" s="147">
        <f t="shared" si="10"/>
        <v>8853864.0393801853</v>
      </c>
      <c r="D121" s="149">
        <f t="shared" si="8"/>
        <v>17118750</v>
      </c>
      <c r="E121" s="147">
        <f t="shared" si="11"/>
        <v>18080613.567140184</v>
      </c>
      <c r="F121" s="150">
        <f t="shared" ref="F121:F155" si="14">F120+$I$51</f>
        <v>14943518.727701809</v>
      </c>
      <c r="G121" s="145"/>
      <c r="H121" s="146">
        <f>'E-Costos'!$C$88</f>
        <v>30000000</v>
      </c>
      <c r="I121" s="147">
        <f t="shared" si="12"/>
        <v>8809315.4496745728</v>
      </c>
      <c r="J121" s="149">
        <f t="shared" si="9"/>
        <v>19800000</v>
      </c>
      <c r="K121" s="147">
        <f t="shared" si="13"/>
        <v>19026534.041674573</v>
      </c>
      <c r="L121" s="150">
        <f t="shared" ref="L121:L155" si="15">L120+$K$51</f>
        <v>15552679.720394578</v>
      </c>
      <c r="M121" s="138"/>
      <c r="N121" s="145"/>
      <c r="O121" s="144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</row>
    <row r="122" spans="1:40" ht="15" x14ac:dyDescent="0.2">
      <c r="A122" s="145">
        <v>0.67</v>
      </c>
      <c r="B122" s="146">
        <f>'E-Costos'!$B$88</f>
        <v>25937500</v>
      </c>
      <c r="C122" s="147">
        <f t="shared" si="10"/>
        <v>8853864.0393801853</v>
      </c>
      <c r="D122" s="149">
        <f t="shared" ref="D122:D155" si="16">D121+$H$51</f>
        <v>17378125</v>
      </c>
      <c r="E122" s="147">
        <f t="shared" si="11"/>
        <v>18080613.567140184</v>
      </c>
      <c r="F122" s="150">
        <f t="shared" si="14"/>
        <v>15035786.22297941</v>
      </c>
      <c r="G122" s="145"/>
      <c r="H122" s="146">
        <f>'E-Costos'!$C$88</f>
        <v>30000000</v>
      </c>
      <c r="I122" s="147">
        <f t="shared" si="12"/>
        <v>8809315.4496745728</v>
      </c>
      <c r="J122" s="149">
        <f t="shared" ref="J122:J155" si="17">J121+$J$51</f>
        <v>20100000</v>
      </c>
      <c r="K122" s="147">
        <f t="shared" si="13"/>
        <v>19026534.041674573</v>
      </c>
      <c r="L122" s="150">
        <f t="shared" si="15"/>
        <v>15654851.906314578</v>
      </c>
      <c r="M122" s="138"/>
      <c r="N122" s="145"/>
      <c r="O122" s="144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</row>
    <row r="123" spans="1:40" ht="15" x14ac:dyDescent="0.2">
      <c r="A123" s="145">
        <v>0.68</v>
      </c>
      <c r="B123" s="146">
        <f>'E-Costos'!$B$88</f>
        <v>25937500</v>
      </c>
      <c r="C123" s="147">
        <f t="shared" si="10"/>
        <v>8853864.0393801853</v>
      </c>
      <c r="D123" s="149">
        <f t="shared" si="16"/>
        <v>17637500</v>
      </c>
      <c r="E123" s="147">
        <f t="shared" si="11"/>
        <v>18080613.567140184</v>
      </c>
      <c r="F123" s="150">
        <f t="shared" si="14"/>
        <v>15128053.71825701</v>
      </c>
      <c r="G123" s="145"/>
      <c r="H123" s="146">
        <f>'E-Costos'!$C$88</f>
        <v>30000000</v>
      </c>
      <c r="I123" s="147">
        <f t="shared" si="12"/>
        <v>8809315.4496745728</v>
      </c>
      <c r="J123" s="149">
        <f t="shared" si="17"/>
        <v>20400000</v>
      </c>
      <c r="K123" s="147">
        <f t="shared" si="13"/>
        <v>19026534.041674573</v>
      </c>
      <c r="L123" s="150">
        <f t="shared" si="15"/>
        <v>15757024.092234578</v>
      </c>
      <c r="M123" s="138"/>
      <c r="N123" s="145"/>
      <c r="O123" s="144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</row>
    <row r="124" spans="1:40" ht="15" x14ac:dyDescent="0.2">
      <c r="A124" s="145">
        <v>0.69</v>
      </c>
      <c r="B124" s="146">
        <f>'E-Costos'!$B$88</f>
        <v>25937500</v>
      </c>
      <c r="C124" s="147">
        <f t="shared" si="10"/>
        <v>8853864.0393801853</v>
      </c>
      <c r="D124" s="149">
        <f t="shared" si="16"/>
        <v>17896875</v>
      </c>
      <c r="E124" s="147">
        <f t="shared" si="11"/>
        <v>18080613.567140184</v>
      </c>
      <c r="F124" s="150">
        <f t="shared" si="14"/>
        <v>15220321.21353461</v>
      </c>
      <c r="G124" s="145"/>
      <c r="H124" s="146">
        <f>'E-Costos'!$C$88</f>
        <v>30000000</v>
      </c>
      <c r="I124" s="147">
        <f t="shared" si="12"/>
        <v>8809315.4496745728</v>
      </c>
      <c r="J124" s="149">
        <f t="shared" si="17"/>
        <v>20700000</v>
      </c>
      <c r="K124" s="147">
        <f t="shared" si="13"/>
        <v>19026534.041674573</v>
      </c>
      <c r="L124" s="150">
        <f t="shared" si="15"/>
        <v>15859196.278154578</v>
      </c>
      <c r="M124" s="138"/>
      <c r="N124" s="145"/>
      <c r="O124" s="144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</row>
    <row r="125" spans="1:40" ht="15" x14ac:dyDescent="0.2">
      <c r="A125" s="145">
        <v>0.7</v>
      </c>
      <c r="B125" s="146">
        <f>'E-Costos'!$B$88</f>
        <v>25937500</v>
      </c>
      <c r="C125" s="147">
        <f t="shared" si="10"/>
        <v>8853864.0393801853</v>
      </c>
      <c r="D125" s="149">
        <f t="shared" si="16"/>
        <v>18156250</v>
      </c>
      <c r="E125" s="147">
        <f t="shared" si="11"/>
        <v>18080613.567140184</v>
      </c>
      <c r="F125" s="150">
        <f t="shared" si="14"/>
        <v>15312588.708812211</v>
      </c>
      <c r="G125" s="145"/>
      <c r="H125" s="146">
        <f>'E-Costos'!$C$88</f>
        <v>30000000</v>
      </c>
      <c r="I125" s="147">
        <f t="shared" si="12"/>
        <v>8809315.4496745728</v>
      </c>
      <c r="J125" s="149">
        <f t="shared" si="17"/>
        <v>21000000</v>
      </c>
      <c r="K125" s="147">
        <f t="shared" si="13"/>
        <v>19026534.041674573</v>
      </c>
      <c r="L125" s="150">
        <f t="shared" si="15"/>
        <v>15961368.464074578</v>
      </c>
      <c r="M125" s="138"/>
      <c r="N125" s="145"/>
      <c r="O125" s="144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</row>
    <row r="126" spans="1:40" ht="15" x14ac:dyDescent="0.2">
      <c r="A126" s="145">
        <v>0.71</v>
      </c>
      <c r="B126" s="146">
        <f>'E-Costos'!$B$88</f>
        <v>25937500</v>
      </c>
      <c r="C126" s="147">
        <f t="shared" si="10"/>
        <v>8853864.0393801853</v>
      </c>
      <c r="D126" s="149">
        <f t="shared" si="16"/>
        <v>18415625</v>
      </c>
      <c r="E126" s="147">
        <f t="shared" si="11"/>
        <v>18080613.567140184</v>
      </c>
      <c r="F126" s="150">
        <f t="shared" si="14"/>
        <v>15404856.204089811</v>
      </c>
      <c r="G126" s="145"/>
      <c r="H126" s="146">
        <f>'E-Costos'!$C$88</f>
        <v>30000000</v>
      </c>
      <c r="I126" s="147">
        <f t="shared" si="12"/>
        <v>8809315.4496745728</v>
      </c>
      <c r="J126" s="149">
        <f t="shared" si="17"/>
        <v>21300000</v>
      </c>
      <c r="K126" s="147">
        <f t="shared" si="13"/>
        <v>19026534.041674573</v>
      </c>
      <c r="L126" s="150">
        <f t="shared" si="15"/>
        <v>16063540.649994578</v>
      </c>
      <c r="M126" s="138"/>
      <c r="N126" s="145"/>
      <c r="O126" s="144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</row>
    <row r="127" spans="1:40" ht="15" x14ac:dyDescent="0.2">
      <c r="A127" s="145">
        <v>0.72</v>
      </c>
      <c r="B127" s="146">
        <f>'E-Costos'!$B$88</f>
        <v>25937500</v>
      </c>
      <c r="C127" s="147">
        <f t="shared" si="10"/>
        <v>8853864.0393801853</v>
      </c>
      <c r="D127" s="149">
        <f t="shared" si="16"/>
        <v>18675000</v>
      </c>
      <c r="E127" s="147">
        <f t="shared" si="11"/>
        <v>18080613.567140184</v>
      </c>
      <c r="F127" s="150">
        <f t="shared" si="14"/>
        <v>15497123.699367411</v>
      </c>
      <c r="G127" s="145"/>
      <c r="H127" s="146">
        <f>'E-Costos'!$C$88</f>
        <v>30000000</v>
      </c>
      <c r="I127" s="147">
        <f t="shared" si="12"/>
        <v>8809315.4496745728</v>
      </c>
      <c r="J127" s="149">
        <f t="shared" si="17"/>
        <v>21600000</v>
      </c>
      <c r="K127" s="147">
        <f t="shared" si="13"/>
        <v>19026534.041674573</v>
      </c>
      <c r="L127" s="150">
        <f t="shared" si="15"/>
        <v>16165712.835914578</v>
      </c>
      <c r="M127" s="138"/>
      <c r="N127" s="145"/>
      <c r="O127" s="144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</row>
    <row r="128" spans="1:40" ht="15" x14ac:dyDescent="0.2">
      <c r="A128" s="145">
        <v>0.73</v>
      </c>
      <c r="B128" s="146">
        <f>'E-Costos'!$B$88</f>
        <v>25937500</v>
      </c>
      <c r="C128" s="147">
        <f t="shared" si="10"/>
        <v>8853864.0393801853</v>
      </c>
      <c r="D128" s="149">
        <f t="shared" si="16"/>
        <v>18934375</v>
      </c>
      <c r="E128" s="147">
        <f t="shared" si="11"/>
        <v>18080613.567140184</v>
      </c>
      <c r="F128" s="150">
        <f t="shared" si="14"/>
        <v>15589391.194645012</v>
      </c>
      <c r="G128" s="145"/>
      <c r="H128" s="146">
        <f>'E-Costos'!$C$88</f>
        <v>30000000</v>
      </c>
      <c r="I128" s="147">
        <f t="shared" si="12"/>
        <v>8809315.4496745728</v>
      </c>
      <c r="J128" s="149">
        <f t="shared" si="17"/>
        <v>21900000</v>
      </c>
      <c r="K128" s="147">
        <f t="shared" si="13"/>
        <v>19026534.041674573</v>
      </c>
      <c r="L128" s="150">
        <f t="shared" si="15"/>
        <v>16267885.021834578</v>
      </c>
      <c r="M128" s="138"/>
      <c r="N128" s="145"/>
      <c r="O128" s="144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</row>
    <row r="129" spans="1:40" ht="15" x14ac:dyDescent="0.2">
      <c r="A129" s="145">
        <v>0.74</v>
      </c>
      <c r="B129" s="146">
        <f>'E-Costos'!$B$88</f>
        <v>25937500</v>
      </c>
      <c r="C129" s="147">
        <f t="shared" si="10"/>
        <v>8853864.0393801853</v>
      </c>
      <c r="D129" s="149">
        <f t="shared" si="16"/>
        <v>19193750</v>
      </c>
      <c r="E129" s="147">
        <f t="shared" si="11"/>
        <v>18080613.567140184</v>
      </c>
      <c r="F129" s="150">
        <f t="shared" si="14"/>
        <v>15681658.689922612</v>
      </c>
      <c r="G129" s="145"/>
      <c r="H129" s="146">
        <f>'E-Costos'!$C$88</f>
        <v>30000000</v>
      </c>
      <c r="I129" s="147">
        <f t="shared" si="12"/>
        <v>8809315.4496745728</v>
      </c>
      <c r="J129" s="149">
        <f t="shared" si="17"/>
        <v>22200000</v>
      </c>
      <c r="K129" s="147">
        <f t="shared" si="13"/>
        <v>19026534.041674573</v>
      </c>
      <c r="L129" s="150">
        <f t="shared" si="15"/>
        <v>16370057.207754578</v>
      </c>
      <c r="M129" s="138"/>
      <c r="N129" s="145"/>
      <c r="O129" s="144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</row>
    <row r="130" spans="1:40" ht="15" x14ac:dyDescent="0.2">
      <c r="A130" s="145">
        <v>0.75</v>
      </c>
      <c r="B130" s="146">
        <f>'E-Costos'!$B$88</f>
        <v>25937500</v>
      </c>
      <c r="C130" s="147">
        <f t="shared" si="10"/>
        <v>8853864.0393801853</v>
      </c>
      <c r="D130" s="149">
        <f t="shared" si="16"/>
        <v>19453125</v>
      </c>
      <c r="E130" s="147">
        <f t="shared" si="11"/>
        <v>18080613.567140184</v>
      </c>
      <c r="F130" s="150">
        <f t="shared" si="14"/>
        <v>15773926.185200213</v>
      </c>
      <c r="G130" s="145"/>
      <c r="H130" s="146">
        <f>'E-Costos'!$C$88</f>
        <v>30000000</v>
      </c>
      <c r="I130" s="147">
        <f t="shared" si="12"/>
        <v>8809315.4496745728</v>
      </c>
      <c r="J130" s="149">
        <f t="shared" si="17"/>
        <v>22500000</v>
      </c>
      <c r="K130" s="147">
        <f t="shared" si="13"/>
        <v>19026534.041674573</v>
      </c>
      <c r="L130" s="150">
        <f t="shared" si="15"/>
        <v>16472229.393674579</v>
      </c>
      <c r="M130" s="138"/>
      <c r="N130" s="145"/>
      <c r="O130" s="144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</row>
    <row r="131" spans="1:40" ht="15" x14ac:dyDescent="0.2">
      <c r="A131" s="145">
        <v>0.76</v>
      </c>
      <c r="B131" s="146">
        <f>'E-Costos'!$B$88</f>
        <v>25937500</v>
      </c>
      <c r="C131" s="147">
        <f t="shared" si="10"/>
        <v>8853864.0393801853</v>
      </c>
      <c r="D131" s="149">
        <f t="shared" si="16"/>
        <v>19712500</v>
      </c>
      <c r="E131" s="147">
        <f t="shared" si="11"/>
        <v>18080613.567140184</v>
      </c>
      <c r="F131" s="150">
        <f t="shared" si="14"/>
        <v>15866193.680477813</v>
      </c>
      <c r="G131" s="145"/>
      <c r="H131" s="146">
        <f>'E-Costos'!$C$88</f>
        <v>30000000</v>
      </c>
      <c r="I131" s="147">
        <f t="shared" si="12"/>
        <v>8809315.4496745728</v>
      </c>
      <c r="J131" s="149">
        <f t="shared" si="17"/>
        <v>22800000</v>
      </c>
      <c r="K131" s="147">
        <f t="shared" si="13"/>
        <v>19026534.041674573</v>
      </c>
      <c r="L131" s="150">
        <f t="shared" si="15"/>
        <v>16574401.579594579</v>
      </c>
      <c r="M131" s="138"/>
      <c r="N131" s="145"/>
      <c r="O131" s="144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</row>
    <row r="132" spans="1:40" ht="15" x14ac:dyDescent="0.2">
      <c r="A132" s="145">
        <v>0.77</v>
      </c>
      <c r="B132" s="146">
        <f>'E-Costos'!$B$88</f>
        <v>25937500</v>
      </c>
      <c r="C132" s="147">
        <f t="shared" si="10"/>
        <v>8853864.0393801853</v>
      </c>
      <c r="D132" s="149">
        <f t="shared" si="16"/>
        <v>19971875</v>
      </c>
      <c r="E132" s="147">
        <f t="shared" si="11"/>
        <v>18080613.567140184</v>
      </c>
      <c r="F132" s="150">
        <f t="shared" si="14"/>
        <v>15958461.175755413</v>
      </c>
      <c r="G132" s="145"/>
      <c r="H132" s="146">
        <f>'E-Costos'!$C$88</f>
        <v>30000000</v>
      </c>
      <c r="I132" s="147">
        <f t="shared" si="12"/>
        <v>8809315.4496745728</v>
      </c>
      <c r="J132" s="149">
        <f t="shared" si="17"/>
        <v>23100000</v>
      </c>
      <c r="K132" s="147">
        <f t="shared" si="13"/>
        <v>19026534.041674573</v>
      </c>
      <c r="L132" s="150">
        <f t="shared" si="15"/>
        <v>16676573.765514579</v>
      </c>
      <c r="M132" s="138"/>
      <c r="N132" s="145"/>
      <c r="O132" s="144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</row>
    <row r="133" spans="1:40" ht="15" x14ac:dyDescent="0.2">
      <c r="A133" s="145">
        <v>0.78</v>
      </c>
      <c r="B133" s="146">
        <f>'E-Costos'!$B$88</f>
        <v>25937500</v>
      </c>
      <c r="C133" s="147">
        <f t="shared" si="10"/>
        <v>8853864.0393801853</v>
      </c>
      <c r="D133" s="149">
        <f t="shared" si="16"/>
        <v>20231250</v>
      </c>
      <c r="E133" s="147">
        <f t="shared" si="11"/>
        <v>18080613.567140184</v>
      </c>
      <c r="F133" s="150">
        <f t="shared" si="14"/>
        <v>16050728.671033014</v>
      </c>
      <c r="G133" s="145"/>
      <c r="H133" s="146">
        <f>'E-Costos'!$C$88</f>
        <v>30000000</v>
      </c>
      <c r="I133" s="147">
        <f t="shared" si="12"/>
        <v>8809315.4496745728</v>
      </c>
      <c r="J133" s="149">
        <f t="shared" si="17"/>
        <v>23400000</v>
      </c>
      <c r="K133" s="147">
        <f t="shared" si="13"/>
        <v>19026534.041674573</v>
      </c>
      <c r="L133" s="150">
        <f t="shared" si="15"/>
        <v>16778745.951434579</v>
      </c>
      <c r="M133" s="138"/>
      <c r="N133" s="145"/>
      <c r="O133" s="144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</row>
    <row r="134" spans="1:40" ht="15" x14ac:dyDescent="0.2">
      <c r="A134" s="145">
        <v>0.79</v>
      </c>
      <c r="B134" s="146">
        <f>'E-Costos'!$B$88</f>
        <v>25937500</v>
      </c>
      <c r="C134" s="147">
        <f t="shared" si="10"/>
        <v>8853864.0393801853</v>
      </c>
      <c r="D134" s="149">
        <f t="shared" si="16"/>
        <v>20490625</v>
      </c>
      <c r="E134" s="147">
        <f t="shared" si="11"/>
        <v>18080613.567140184</v>
      </c>
      <c r="F134" s="150">
        <f t="shared" si="14"/>
        <v>16142996.166310614</v>
      </c>
      <c r="G134" s="145"/>
      <c r="H134" s="146">
        <f>'E-Costos'!$C$88</f>
        <v>30000000</v>
      </c>
      <c r="I134" s="147">
        <f t="shared" si="12"/>
        <v>8809315.4496745728</v>
      </c>
      <c r="J134" s="149">
        <f t="shared" si="17"/>
        <v>23700000</v>
      </c>
      <c r="K134" s="147">
        <f t="shared" si="13"/>
        <v>19026534.041674573</v>
      </c>
      <c r="L134" s="150">
        <f t="shared" si="15"/>
        <v>16880918.137354579</v>
      </c>
      <c r="M134" s="138"/>
      <c r="N134" s="145"/>
      <c r="O134" s="144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</row>
    <row r="135" spans="1:40" ht="15" x14ac:dyDescent="0.2">
      <c r="A135" s="145">
        <v>0.8</v>
      </c>
      <c r="B135" s="146">
        <f>'E-Costos'!$B$88</f>
        <v>25937500</v>
      </c>
      <c r="C135" s="147">
        <f t="shared" si="10"/>
        <v>8853864.0393801853</v>
      </c>
      <c r="D135" s="149">
        <f t="shared" si="16"/>
        <v>20750000</v>
      </c>
      <c r="E135" s="147">
        <f t="shared" si="11"/>
        <v>18080613.567140184</v>
      </c>
      <c r="F135" s="150">
        <f t="shared" si="14"/>
        <v>16235263.661588214</v>
      </c>
      <c r="G135" s="145"/>
      <c r="H135" s="146">
        <f>'E-Costos'!$C$88</f>
        <v>30000000</v>
      </c>
      <c r="I135" s="147">
        <f t="shared" si="12"/>
        <v>8809315.4496745728</v>
      </c>
      <c r="J135" s="149">
        <f t="shared" si="17"/>
        <v>24000000</v>
      </c>
      <c r="K135" s="147">
        <f t="shared" si="13"/>
        <v>19026534.041674573</v>
      </c>
      <c r="L135" s="150">
        <f t="shared" si="15"/>
        <v>16983090.323274579</v>
      </c>
      <c r="M135" s="138"/>
      <c r="N135" s="145"/>
      <c r="O135" s="144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</row>
    <row r="136" spans="1:40" ht="15" x14ac:dyDescent="0.2">
      <c r="A136" s="145">
        <v>0.81</v>
      </c>
      <c r="B136" s="146">
        <f>'E-Costos'!$B$88</f>
        <v>25937500</v>
      </c>
      <c r="C136" s="147">
        <f t="shared" si="10"/>
        <v>8853864.0393801853</v>
      </c>
      <c r="D136" s="149">
        <f t="shared" si="16"/>
        <v>21009375</v>
      </c>
      <c r="E136" s="147">
        <f t="shared" si="11"/>
        <v>18080613.567140184</v>
      </c>
      <c r="F136" s="150">
        <f t="shared" si="14"/>
        <v>16327531.156865815</v>
      </c>
      <c r="G136" s="145"/>
      <c r="H136" s="146">
        <f>'E-Costos'!$C$88</f>
        <v>30000000</v>
      </c>
      <c r="I136" s="147">
        <f t="shared" si="12"/>
        <v>8809315.4496745728</v>
      </c>
      <c r="J136" s="149">
        <f t="shared" si="17"/>
        <v>24300000</v>
      </c>
      <c r="K136" s="147">
        <f t="shared" si="13"/>
        <v>19026534.041674573</v>
      </c>
      <c r="L136" s="150">
        <f t="shared" si="15"/>
        <v>17085262.509194579</v>
      </c>
      <c r="M136" s="138"/>
      <c r="N136" s="145"/>
      <c r="O136" s="144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</row>
    <row r="137" spans="1:40" ht="15" x14ac:dyDescent="0.2">
      <c r="A137" s="145">
        <v>0.82</v>
      </c>
      <c r="B137" s="146">
        <f>'E-Costos'!$B$88</f>
        <v>25937500</v>
      </c>
      <c r="C137" s="147">
        <f t="shared" si="10"/>
        <v>8853864.0393801853</v>
      </c>
      <c r="D137" s="149">
        <f t="shared" si="16"/>
        <v>21268750</v>
      </c>
      <c r="E137" s="147">
        <f t="shared" si="11"/>
        <v>18080613.567140184</v>
      </c>
      <c r="F137" s="150">
        <f t="shared" si="14"/>
        <v>16419798.652143415</v>
      </c>
      <c r="G137" s="145"/>
      <c r="H137" s="146">
        <f>'E-Costos'!$C$88</f>
        <v>30000000</v>
      </c>
      <c r="I137" s="147">
        <f t="shared" si="12"/>
        <v>8809315.4496745728</v>
      </c>
      <c r="J137" s="149">
        <f t="shared" si="17"/>
        <v>24600000</v>
      </c>
      <c r="K137" s="147">
        <f t="shared" si="13"/>
        <v>19026534.041674573</v>
      </c>
      <c r="L137" s="150">
        <f t="shared" si="15"/>
        <v>17187434.695114579</v>
      </c>
      <c r="M137" s="138"/>
      <c r="N137" s="145"/>
      <c r="O137" s="144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</row>
    <row r="138" spans="1:40" ht="15" x14ac:dyDescent="0.2">
      <c r="A138" s="145">
        <v>0.83</v>
      </c>
      <c r="B138" s="146">
        <f>'E-Costos'!$B$88</f>
        <v>25937500</v>
      </c>
      <c r="C138" s="147">
        <f t="shared" si="10"/>
        <v>8853864.0393801853</v>
      </c>
      <c r="D138" s="149">
        <f t="shared" si="16"/>
        <v>21528125</v>
      </c>
      <c r="E138" s="147">
        <f t="shared" si="11"/>
        <v>18080613.567140184</v>
      </c>
      <c r="F138" s="150">
        <f t="shared" si="14"/>
        <v>16512066.147421015</v>
      </c>
      <c r="G138" s="145"/>
      <c r="H138" s="146">
        <f>'E-Costos'!$C$88</f>
        <v>30000000</v>
      </c>
      <c r="I138" s="147">
        <f t="shared" si="12"/>
        <v>8809315.4496745728</v>
      </c>
      <c r="J138" s="149">
        <f t="shared" si="17"/>
        <v>24900000</v>
      </c>
      <c r="K138" s="147">
        <f t="shared" si="13"/>
        <v>19026534.041674573</v>
      </c>
      <c r="L138" s="150">
        <f t="shared" si="15"/>
        <v>17289606.881034579</v>
      </c>
      <c r="M138" s="138"/>
      <c r="N138" s="145"/>
      <c r="O138" s="144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</row>
    <row r="139" spans="1:40" ht="15" x14ac:dyDescent="0.2">
      <c r="A139" s="145">
        <v>0.84</v>
      </c>
      <c r="B139" s="146">
        <f>'E-Costos'!$B$88</f>
        <v>25937500</v>
      </c>
      <c r="C139" s="147">
        <f t="shared" si="10"/>
        <v>8853864.0393801853</v>
      </c>
      <c r="D139" s="149">
        <f t="shared" si="16"/>
        <v>21787500</v>
      </c>
      <c r="E139" s="147">
        <f t="shared" si="11"/>
        <v>18080613.567140184</v>
      </c>
      <c r="F139" s="150">
        <f t="shared" si="14"/>
        <v>16604333.642698616</v>
      </c>
      <c r="G139" s="145"/>
      <c r="H139" s="146">
        <f>'E-Costos'!$C$88</f>
        <v>30000000</v>
      </c>
      <c r="I139" s="147">
        <f t="shared" si="12"/>
        <v>8809315.4496745728</v>
      </c>
      <c r="J139" s="149">
        <f t="shared" si="17"/>
        <v>25200000</v>
      </c>
      <c r="K139" s="147">
        <f t="shared" si="13"/>
        <v>19026534.041674573</v>
      </c>
      <c r="L139" s="150">
        <f t="shared" si="15"/>
        <v>17391779.066954579</v>
      </c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</row>
    <row r="140" spans="1:40" ht="15" x14ac:dyDescent="0.2">
      <c r="A140" s="145">
        <v>0.85</v>
      </c>
      <c r="B140" s="146">
        <f>'E-Costos'!$B$88</f>
        <v>25937500</v>
      </c>
      <c r="C140" s="147">
        <f t="shared" si="10"/>
        <v>8853864.0393801853</v>
      </c>
      <c r="D140" s="149">
        <f t="shared" si="16"/>
        <v>22046875</v>
      </c>
      <c r="E140" s="147">
        <f t="shared" si="11"/>
        <v>18080613.567140184</v>
      </c>
      <c r="F140" s="150">
        <f t="shared" si="14"/>
        <v>16696601.137976216</v>
      </c>
      <c r="G140" s="145"/>
      <c r="H140" s="146">
        <f>'E-Costos'!$C$88</f>
        <v>30000000</v>
      </c>
      <c r="I140" s="147">
        <f t="shared" si="12"/>
        <v>8809315.4496745728</v>
      </c>
      <c r="J140" s="149">
        <f t="shared" si="17"/>
        <v>25500000</v>
      </c>
      <c r="K140" s="147">
        <f t="shared" si="13"/>
        <v>19026534.041674573</v>
      </c>
      <c r="L140" s="150">
        <f t="shared" si="15"/>
        <v>17493951.252874579</v>
      </c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</row>
    <row r="141" spans="1:40" ht="15" x14ac:dyDescent="0.2">
      <c r="A141" s="145">
        <v>0.86</v>
      </c>
      <c r="B141" s="146">
        <f>'E-Costos'!$B$88</f>
        <v>25937500</v>
      </c>
      <c r="C141" s="147">
        <f t="shared" si="10"/>
        <v>8853864.0393801853</v>
      </c>
      <c r="D141" s="149">
        <f t="shared" si="16"/>
        <v>22306250</v>
      </c>
      <c r="E141" s="147">
        <f t="shared" si="11"/>
        <v>18080613.567140184</v>
      </c>
      <c r="F141" s="150">
        <f t="shared" si="14"/>
        <v>16788868.633253817</v>
      </c>
      <c r="G141" s="145"/>
      <c r="H141" s="146">
        <f>'E-Costos'!$C$88</f>
        <v>30000000</v>
      </c>
      <c r="I141" s="147">
        <f t="shared" si="12"/>
        <v>8809315.4496745728</v>
      </c>
      <c r="J141" s="149">
        <f t="shared" si="17"/>
        <v>25800000</v>
      </c>
      <c r="K141" s="147">
        <f t="shared" si="13"/>
        <v>19026534.041674573</v>
      </c>
      <c r="L141" s="150">
        <f t="shared" si="15"/>
        <v>17596123.438794579</v>
      </c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</row>
    <row r="142" spans="1:40" ht="15" x14ac:dyDescent="0.2">
      <c r="A142" s="145">
        <v>0.87</v>
      </c>
      <c r="B142" s="146">
        <f>'E-Costos'!$B$88</f>
        <v>25937500</v>
      </c>
      <c r="C142" s="147">
        <f t="shared" si="10"/>
        <v>8853864.0393801853</v>
      </c>
      <c r="D142" s="149">
        <f t="shared" si="16"/>
        <v>22565625</v>
      </c>
      <c r="E142" s="147">
        <f t="shared" si="11"/>
        <v>18080613.567140184</v>
      </c>
      <c r="F142" s="150">
        <f t="shared" si="14"/>
        <v>16881136.128531415</v>
      </c>
      <c r="G142" s="145"/>
      <c r="H142" s="146">
        <f>'E-Costos'!$C$88</f>
        <v>30000000</v>
      </c>
      <c r="I142" s="147">
        <f t="shared" si="12"/>
        <v>8809315.4496745728</v>
      </c>
      <c r="J142" s="149">
        <f t="shared" si="17"/>
        <v>26100000</v>
      </c>
      <c r="K142" s="147">
        <f t="shared" si="13"/>
        <v>19026534.041674573</v>
      </c>
      <c r="L142" s="150">
        <f t="shared" si="15"/>
        <v>17698295.624714579</v>
      </c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</row>
    <row r="143" spans="1:40" ht="15" x14ac:dyDescent="0.2">
      <c r="A143" s="145">
        <v>0.88</v>
      </c>
      <c r="B143" s="146">
        <f>'E-Costos'!$B$88</f>
        <v>25937500</v>
      </c>
      <c r="C143" s="147">
        <f t="shared" si="10"/>
        <v>8853864.0393801853</v>
      </c>
      <c r="D143" s="149">
        <f t="shared" si="16"/>
        <v>22825000</v>
      </c>
      <c r="E143" s="147">
        <f t="shared" si="11"/>
        <v>18080613.567140184</v>
      </c>
      <c r="F143" s="150">
        <f t="shared" si="14"/>
        <v>16973403.623809014</v>
      </c>
      <c r="G143" s="145"/>
      <c r="H143" s="146">
        <f>'E-Costos'!$C$88</f>
        <v>30000000</v>
      </c>
      <c r="I143" s="147">
        <f t="shared" si="12"/>
        <v>8809315.4496745728</v>
      </c>
      <c r="J143" s="149">
        <f t="shared" si="17"/>
        <v>26400000</v>
      </c>
      <c r="K143" s="147">
        <f t="shared" si="13"/>
        <v>19026534.041674573</v>
      </c>
      <c r="L143" s="150">
        <f t="shared" si="15"/>
        <v>17800467.81063458</v>
      </c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</row>
    <row r="144" spans="1:40" ht="15" x14ac:dyDescent="0.2">
      <c r="A144" s="145">
        <v>0.89</v>
      </c>
      <c r="B144" s="146">
        <f>'E-Costos'!$B$88</f>
        <v>25937500</v>
      </c>
      <c r="C144" s="147">
        <f t="shared" si="10"/>
        <v>8853864.0393801853</v>
      </c>
      <c r="D144" s="149">
        <f t="shared" si="16"/>
        <v>23084375</v>
      </c>
      <c r="E144" s="147">
        <f t="shared" si="11"/>
        <v>18080613.567140184</v>
      </c>
      <c r="F144" s="150">
        <f t="shared" si="14"/>
        <v>17065671.119086612</v>
      </c>
      <c r="G144" s="145"/>
      <c r="H144" s="146">
        <f>'E-Costos'!$C$88</f>
        <v>30000000</v>
      </c>
      <c r="I144" s="147">
        <f t="shared" si="12"/>
        <v>8809315.4496745728</v>
      </c>
      <c r="J144" s="149">
        <f t="shared" si="17"/>
        <v>26700000</v>
      </c>
      <c r="K144" s="147">
        <f t="shared" si="13"/>
        <v>19026534.041674573</v>
      </c>
      <c r="L144" s="150">
        <f t="shared" si="15"/>
        <v>17902639.99655458</v>
      </c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</row>
    <row r="145" spans="1:40" ht="15" x14ac:dyDescent="0.2">
      <c r="A145" s="145">
        <v>0.9</v>
      </c>
      <c r="B145" s="146">
        <f>'E-Costos'!$B$88</f>
        <v>25937500</v>
      </c>
      <c r="C145" s="147">
        <f t="shared" si="10"/>
        <v>8853864.0393801853</v>
      </c>
      <c r="D145" s="149">
        <f t="shared" si="16"/>
        <v>23343750</v>
      </c>
      <c r="E145" s="147">
        <f t="shared" si="11"/>
        <v>18080613.567140184</v>
      </c>
      <c r="F145" s="150">
        <f t="shared" si="14"/>
        <v>17157938.614364211</v>
      </c>
      <c r="G145" s="145"/>
      <c r="H145" s="146">
        <f>'E-Costos'!$C$88</f>
        <v>30000000</v>
      </c>
      <c r="I145" s="147">
        <f t="shared" si="12"/>
        <v>8809315.4496745728</v>
      </c>
      <c r="J145" s="149">
        <f t="shared" si="17"/>
        <v>27000000</v>
      </c>
      <c r="K145" s="147">
        <f t="shared" si="13"/>
        <v>19026534.041674573</v>
      </c>
      <c r="L145" s="150">
        <f t="shared" si="15"/>
        <v>18004812.18247458</v>
      </c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</row>
    <row r="146" spans="1:40" ht="15" x14ac:dyDescent="0.2">
      <c r="A146" s="145">
        <v>0.91</v>
      </c>
      <c r="B146" s="146">
        <f>'E-Costos'!$B$88</f>
        <v>25937500</v>
      </c>
      <c r="C146" s="147">
        <f t="shared" si="10"/>
        <v>8853864.0393801853</v>
      </c>
      <c r="D146" s="149">
        <f t="shared" si="16"/>
        <v>23603125</v>
      </c>
      <c r="E146" s="147">
        <f t="shared" si="11"/>
        <v>18080613.567140184</v>
      </c>
      <c r="F146" s="150">
        <f t="shared" si="14"/>
        <v>17250206.109641809</v>
      </c>
      <c r="G146" s="145"/>
      <c r="H146" s="146">
        <f>'E-Costos'!$C$88</f>
        <v>30000000</v>
      </c>
      <c r="I146" s="147">
        <f t="shared" si="12"/>
        <v>8809315.4496745728</v>
      </c>
      <c r="J146" s="149">
        <f t="shared" si="17"/>
        <v>27300000</v>
      </c>
      <c r="K146" s="147">
        <f t="shared" si="13"/>
        <v>19026534.041674573</v>
      </c>
      <c r="L146" s="150">
        <f t="shared" si="15"/>
        <v>18106984.36839458</v>
      </c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</row>
    <row r="147" spans="1:40" ht="15" x14ac:dyDescent="0.2">
      <c r="A147" s="145">
        <v>0.92</v>
      </c>
      <c r="B147" s="146">
        <f>'E-Costos'!$B$88</f>
        <v>25937500</v>
      </c>
      <c r="C147" s="147">
        <f t="shared" si="10"/>
        <v>8853864.0393801853</v>
      </c>
      <c r="D147" s="149">
        <f t="shared" si="16"/>
        <v>23862500</v>
      </c>
      <c r="E147" s="147">
        <f t="shared" si="11"/>
        <v>18080613.567140184</v>
      </c>
      <c r="F147" s="150">
        <f t="shared" si="14"/>
        <v>17342473.604919408</v>
      </c>
      <c r="G147" s="145"/>
      <c r="H147" s="146">
        <f>'E-Costos'!$C$88</f>
        <v>30000000</v>
      </c>
      <c r="I147" s="147">
        <f t="shared" si="12"/>
        <v>8809315.4496745728</v>
      </c>
      <c r="J147" s="149">
        <f t="shared" si="17"/>
        <v>27600000</v>
      </c>
      <c r="K147" s="147">
        <f t="shared" si="13"/>
        <v>19026534.041674573</v>
      </c>
      <c r="L147" s="150">
        <f t="shared" si="15"/>
        <v>18209156.55431458</v>
      </c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</row>
    <row r="148" spans="1:40" ht="15" x14ac:dyDescent="0.2">
      <c r="A148" s="145">
        <v>0.93</v>
      </c>
      <c r="B148" s="146">
        <f>'E-Costos'!$B$88</f>
        <v>25937500</v>
      </c>
      <c r="C148" s="147">
        <f t="shared" si="10"/>
        <v>8853864.0393801853</v>
      </c>
      <c r="D148" s="149">
        <f t="shared" si="16"/>
        <v>24121875</v>
      </c>
      <c r="E148" s="147">
        <f t="shared" si="11"/>
        <v>18080613.567140184</v>
      </c>
      <c r="F148" s="150">
        <f t="shared" si="14"/>
        <v>17434741.100197006</v>
      </c>
      <c r="G148" s="145"/>
      <c r="H148" s="146">
        <f>'E-Costos'!$C$88</f>
        <v>30000000</v>
      </c>
      <c r="I148" s="147">
        <f t="shared" si="12"/>
        <v>8809315.4496745728</v>
      </c>
      <c r="J148" s="149">
        <f t="shared" si="17"/>
        <v>27900000</v>
      </c>
      <c r="K148" s="147">
        <f t="shared" si="13"/>
        <v>19026534.041674573</v>
      </c>
      <c r="L148" s="150">
        <f t="shared" si="15"/>
        <v>18311328.74023458</v>
      </c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</row>
    <row r="149" spans="1:40" ht="15" x14ac:dyDescent="0.2">
      <c r="A149" s="145">
        <v>0.94</v>
      </c>
      <c r="B149" s="146">
        <f>'E-Costos'!$B$88</f>
        <v>25937500</v>
      </c>
      <c r="C149" s="147">
        <f t="shared" si="10"/>
        <v>8853864.0393801853</v>
      </c>
      <c r="D149" s="149">
        <f t="shared" si="16"/>
        <v>24381250</v>
      </c>
      <c r="E149" s="147">
        <f t="shared" si="11"/>
        <v>18080613.567140184</v>
      </c>
      <c r="F149" s="150">
        <f t="shared" si="14"/>
        <v>17527008.595474605</v>
      </c>
      <c r="G149" s="145"/>
      <c r="H149" s="146">
        <f>'E-Costos'!$C$88</f>
        <v>30000000</v>
      </c>
      <c r="I149" s="147">
        <f t="shared" si="12"/>
        <v>8809315.4496745728</v>
      </c>
      <c r="J149" s="149">
        <f t="shared" si="17"/>
        <v>28200000</v>
      </c>
      <c r="K149" s="147">
        <f t="shared" si="13"/>
        <v>19026534.041674573</v>
      </c>
      <c r="L149" s="150">
        <f t="shared" si="15"/>
        <v>18413500.92615458</v>
      </c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</row>
    <row r="150" spans="1:40" ht="15" x14ac:dyDescent="0.2">
      <c r="A150" s="145">
        <v>0.95</v>
      </c>
      <c r="B150" s="146">
        <f>'E-Costos'!$B$88</f>
        <v>25937500</v>
      </c>
      <c r="C150" s="147">
        <f t="shared" si="10"/>
        <v>8853864.0393801853</v>
      </c>
      <c r="D150" s="149">
        <f t="shared" si="16"/>
        <v>24640625</v>
      </c>
      <c r="E150" s="147">
        <f t="shared" si="11"/>
        <v>18080613.567140184</v>
      </c>
      <c r="F150" s="150">
        <f t="shared" si="14"/>
        <v>17619276.090752203</v>
      </c>
      <c r="G150" s="145"/>
      <c r="H150" s="146">
        <f>'E-Costos'!$C$88</f>
        <v>30000000</v>
      </c>
      <c r="I150" s="147">
        <f t="shared" si="12"/>
        <v>8809315.4496745728</v>
      </c>
      <c r="J150" s="149">
        <f t="shared" si="17"/>
        <v>28500000</v>
      </c>
      <c r="K150" s="147">
        <f t="shared" si="13"/>
        <v>19026534.041674573</v>
      </c>
      <c r="L150" s="150">
        <f t="shared" si="15"/>
        <v>18515673.11207458</v>
      </c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</row>
    <row r="151" spans="1:40" ht="15" x14ac:dyDescent="0.2">
      <c r="A151" s="145">
        <v>0.96</v>
      </c>
      <c r="B151" s="146">
        <f>'E-Costos'!$B$88</f>
        <v>25937500</v>
      </c>
      <c r="C151" s="147">
        <f t="shared" si="10"/>
        <v>8853864.0393801853</v>
      </c>
      <c r="D151" s="149">
        <f t="shared" si="16"/>
        <v>24900000</v>
      </c>
      <c r="E151" s="147">
        <f t="shared" si="11"/>
        <v>18080613.567140184</v>
      </c>
      <c r="F151" s="150">
        <f t="shared" si="14"/>
        <v>17711543.586029802</v>
      </c>
      <c r="G151" s="145"/>
      <c r="H151" s="146">
        <f>'E-Costos'!$C$88</f>
        <v>30000000</v>
      </c>
      <c r="I151" s="147">
        <f t="shared" si="12"/>
        <v>8809315.4496745728</v>
      </c>
      <c r="J151" s="149">
        <f t="shared" si="17"/>
        <v>28800000</v>
      </c>
      <c r="K151" s="147">
        <f t="shared" si="13"/>
        <v>19026534.041674573</v>
      </c>
      <c r="L151" s="150">
        <f t="shared" si="15"/>
        <v>18617845.29799458</v>
      </c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</row>
    <row r="152" spans="1:40" ht="15" x14ac:dyDescent="0.2">
      <c r="A152" s="145">
        <v>0.97</v>
      </c>
      <c r="B152" s="146">
        <f>'E-Costos'!$B$88</f>
        <v>25937500</v>
      </c>
      <c r="C152" s="147">
        <f t="shared" si="10"/>
        <v>8853864.0393801853</v>
      </c>
      <c r="D152" s="149">
        <f t="shared" si="16"/>
        <v>25159375</v>
      </c>
      <c r="E152" s="147">
        <f t="shared" si="11"/>
        <v>18080613.567140184</v>
      </c>
      <c r="F152" s="150">
        <f t="shared" si="14"/>
        <v>17803811.0813074</v>
      </c>
      <c r="G152" s="145"/>
      <c r="H152" s="146">
        <f>'E-Costos'!$C$88</f>
        <v>30000000</v>
      </c>
      <c r="I152" s="147">
        <f t="shared" si="12"/>
        <v>8809315.4496745728</v>
      </c>
      <c r="J152" s="149">
        <f t="shared" si="17"/>
        <v>29100000</v>
      </c>
      <c r="K152" s="147">
        <f t="shared" si="13"/>
        <v>19026534.041674573</v>
      </c>
      <c r="L152" s="150">
        <f t="shared" si="15"/>
        <v>18720017.48391458</v>
      </c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</row>
    <row r="153" spans="1:40" ht="15" x14ac:dyDescent="0.2">
      <c r="A153" s="145">
        <v>0.98</v>
      </c>
      <c r="B153" s="146">
        <f>'E-Costos'!$B$88</f>
        <v>25937500</v>
      </c>
      <c r="C153" s="147">
        <f t="shared" si="10"/>
        <v>8853864.0393801853</v>
      </c>
      <c r="D153" s="149">
        <f t="shared" si="16"/>
        <v>25418750</v>
      </c>
      <c r="E153" s="147">
        <f t="shared" si="11"/>
        <v>18080613.567140184</v>
      </c>
      <c r="F153" s="150">
        <f t="shared" si="14"/>
        <v>17896078.576584999</v>
      </c>
      <c r="G153" s="145"/>
      <c r="H153" s="146">
        <f>'E-Costos'!$C$88</f>
        <v>30000000</v>
      </c>
      <c r="I153" s="147">
        <f t="shared" si="12"/>
        <v>8809315.4496745728</v>
      </c>
      <c r="J153" s="149">
        <f t="shared" si="17"/>
        <v>29400000</v>
      </c>
      <c r="K153" s="147">
        <f t="shared" si="13"/>
        <v>19026534.041674573</v>
      </c>
      <c r="L153" s="150">
        <f t="shared" si="15"/>
        <v>18822189.66983458</v>
      </c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</row>
    <row r="154" spans="1:40" ht="15" x14ac:dyDescent="0.2">
      <c r="A154" s="145">
        <v>0.99</v>
      </c>
      <c r="B154" s="146">
        <f>'E-Costos'!$B$88</f>
        <v>25937500</v>
      </c>
      <c r="C154" s="147">
        <f t="shared" si="10"/>
        <v>8853864.0393801853</v>
      </c>
      <c r="D154" s="149">
        <f t="shared" si="16"/>
        <v>25678125</v>
      </c>
      <c r="E154" s="147">
        <f t="shared" si="11"/>
        <v>18080613.567140184</v>
      </c>
      <c r="F154" s="150">
        <f t="shared" si="14"/>
        <v>17988346.071862597</v>
      </c>
      <c r="G154" s="145"/>
      <c r="H154" s="146">
        <f>'E-Costos'!$C$88</f>
        <v>30000000</v>
      </c>
      <c r="I154" s="147">
        <f t="shared" si="12"/>
        <v>8809315.4496745728</v>
      </c>
      <c r="J154" s="149">
        <f t="shared" si="17"/>
        <v>29700000</v>
      </c>
      <c r="K154" s="147">
        <f t="shared" si="13"/>
        <v>19026534.041674573</v>
      </c>
      <c r="L154" s="150">
        <f t="shared" si="15"/>
        <v>18924361.85575458</v>
      </c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</row>
    <row r="155" spans="1:40" ht="15" x14ac:dyDescent="0.2">
      <c r="A155" s="145">
        <v>1</v>
      </c>
      <c r="B155" s="146">
        <f>'E-Costos'!$B$88</f>
        <v>25937500</v>
      </c>
      <c r="C155" s="147">
        <f t="shared" si="10"/>
        <v>8853864.0393801853</v>
      </c>
      <c r="D155" s="149">
        <f t="shared" si="16"/>
        <v>25937500</v>
      </c>
      <c r="E155" s="147">
        <f t="shared" si="11"/>
        <v>18080613.567140184</v>
      </c>
      <c r="F155" s="150">
        <f t="shared" si="14"/>
        <v>18080613.567140196</v>
      </c>
      <c r="G155" s="145"/>
      <c r="H155" s="146">
        <f>'E-Costos'!$C$88</f>
        <v>30000000</v>
      </c>
      <c r="I155" s="147">
        <f t="shared" si="12"/>
        <v>8809315.4496745728</v>
      </c>
      <c r="J155" s="149">
        <f t="shared" si="17"/>
        <v>30000000</v>
      </c>
      <c r="K155" s="147">
        <f t="shared" si="13"/>
        <v>19026534.041674573</v>
      </c>
      <c r="L155" s="150">
        <f t="shared" si="15"/>
        <v>19026534.04167458</v>
      </c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</row>
    <row r="156" spans="1:40" ht="15" x14ac:dyDescent="0.2">
      <c r="A156" s="122"/>
      <c r="B156" s="122"/>
      <c r="C156" s="122"/>
      <c r="D156" s="122"/>
      <c r="E156" s="122"/>
      <c r="F156" s="122"/>
      <c r="G156" s="828"/>
      <c r="H156" s="828"/>
      <c r="I156" s="828"/>
      <c r="J156" s="828"/>
      <c r="K156" s="828"/>
      <c r="L156" s="828"/>
      <c r="M156" s="828"/>
      <c r="N156" s="828"/>
      <c r="O156" s="828"/>
      <c r="P156" s="828"/>
      <c r="Q156" s="828"/>
      <c r="R156" s="828"/>
      <c r="S156" s="828"/>
      <c r="T156" s="828"/>
      <c r="U156" s="828"/>
      <c r="V156" s="828"/>
      <c r="W156" s="828"/>
      <c r="X156" s="828"/>
      <c r="Y156" s="828"/>
      <c r="Z156" s="828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22"/>
    </row>
    <row r="157" spans="1:40" ht="15" x14ac:dyDescent="0.2">
      <c r="A157" s="122"/>
      <c r="B157" s="122"/>
      <c r="C157" s="122"/>
      <c r="D157" s="122"/>
      <c r="E157" s="122"/>
      <c r="F157" s="122"/>
      <c r="G157" s="828"/>
      <c r="H157" s="828"/>
      <c r="I157" s="828"/>
      <c r="J157" s="828"/>
      <c r="K157" s="828"/>
      <c r="L157" s="828"/>
      <c r="M157" s="828"/>
      <c r="N157" s="828"/>
      <c r="O157" s="828"/>
      <c r="P157" s="828"/>
      <c r="Q157" s="828"/>
      <c r="R157" s="828"/>
      <c r="S157" s="828"/>
      <c r="T157" s="828"/>
      <c r="U157" s="828"/>
      <c r="V157" s="828"/>
      <c r="W157" s="828"/>
      <c r="X157" s="828"/>
      <c r="Y157" s="828"/>
      <c r="Z157" s="828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</row>
    <row r="158" spans="1:40" ht="15" x14ac:dyDescent="0.2">
      <c r="A158" s="122"/>
      <c r="B158" s="122"/>
      <c r="C158" s="122"/>
      <c r="D158" s="122"/>
      <c r="E158" s="122"/>
      <c r="F158" s="122"/>
      <c r="G158" s="828"/>
      <c r="H158" s="828"/>
      <c r="I158" s="828"/>
      <c r="J158" s="828"/>
      <c r="K158" s="828"/>
      <c r="L158" s="828"/>
      <c r="M158" s="828"/>
      <c r="N158" s="828"/>
      <c r="O158" s="828"/>
      <c r="P158" s="828"/>
      <c r="Q158" s="828"/>
      <c r="R158" s="828"/>
      <c r="S158" s="828"/>
      <c r="T158" s="828"/>
      <c r="U158" s="828"/>
      <c r="V158" s="828"/>
      <c r="W158" s="828"/>
      <c r="X158" s="828"/>
      <c r="Y158" s="828"/>
      <c r="Z158" s="828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</row>
    <row r="159" spans="1:40" ht="15" x14ac:dyDescent="0.2">
      <c r="A159" s="122"/>
      <c r="B159" s="122"/>
      <c r="C159" s="122"/>
      <c r="D159" s="122"/>
      <c r="E159" s="122"/>
      <c r="F159" s="122"/>
      <c r="G159" s="828"/>
      <c r="H159" s="828"/>
      <c r="I159" s="828"/>
      <c r="J159" s="828"/>
      <c r="K159" s="828"/>
      <c r="L159" s="828"/>
      <c r="M159" s="828"/>
      <c r="N159" s="828"/>
      <c r="O159" s="828"/>
      <c r="P159" s="828"/>
      <c r="Q159" s="828"/>
      <c r="R159" s="828"/>
      <c r="S159" s="828"/>
      <c r="T159" s="828"/>
      <c r="U159" s="828"/>
      <c r="V159" s="828"/>
      <c r="W159" s="828"/>
      <c r="X159" s="828"/>
      <c r="Y159" s="828"/>
      <c r="Z159" s="828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</row>
    <row r="160" spans="1:40" ht="15" x14ac:dyDescent="0.2">
      <c r="A160" s="122"/>
      <c r="B160" s="122"/>
      <c r="C160" s="122"/>
      <c r="D160" s="122"/>
      <c r="E160" s="122"/>
      <c r="F160" s="122"/>
      <c r="G160" s="828"/>
      <c r="H160" s="828"/>
      <c r="I160" s="828"/>
      <c r="J160" s="828"/>
      <c r="K160" s="828"/>
      <c r="L160" s="828"/>
      <c r="M160" s="828"/>
      <c r="N160" s="828"/>
      <c r="O160" s="828"/>
      <c r="P160" s="828"/>
      <c r="Q160" s="828"/>
      <c r="R160" s="828"/>
      <c r="S160" s="828"/>
      <c r="T160" s="828"/>
      <c r="U160" s="828"/>
      <c r="V160" s="828"/>
      <c r="W160" s="828"/>
      <c r="X160" s="828"/>
      <c r="Y160" s="828"/>
      <c r="Z160" s="828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</row>
    <row r="161" spans="1:40" ht="15" x14ac:dyDescent="0.2">
      <c r="A161" s="122"/>
      <c r="B161" s="122"/>
      <c r="C161" s="122"/>
      <c r="D161" s="122"/>
      <c r="E161" s="122"/>
      <c r="F161" s="122"/>
      <c r="G161" s="828"/>
      <c r="H161" s="828"/>
      <c r="I161" s="828"/>
      <c r="J161" s="828"/>
      <c r="K161" s="828"/>
      <c r="L161" s="828"/>
      <c r="M161" s="828"/>
      <c r="N161" s="828"/>
      <c r="O161" s="828"/>
      <c r="P161" s="828"/>
      <c r="Q161" s="828"/>
      <c r="R161" s="828"/>
      <c r="S161" s="828"/>
      <c r="T161" s="828"/>
      <c r="U161" s="828"/>
      <c r="V161" s="828"/>
      <c r="W161" s="828"/>
      <c r="X161" s="828"/>
      <c r="Y161" s="828"/>
      <c r="Z161" s="828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</row>
    <row r="162" spans="1:40" ht="15" x14ac:dyDescent="0.2">
      <c r="A162" s="122"/>
      <c r="B162" s="122"/>
      <c r="C162" s="122"/>
      <c r="D162" s="122"/>
      <c r="E162" s="122"/>
      <c r="F162" s="122"/>
      <c r="G162" s="828"/>
      <c r="H162" s="828"/>
      <c r="I162" s="828"/>
      <c r="J162" s="828"/>
      <c r="K162" s="828"/>
      <c r="L162" s="828"/>
      <c r="M162" s="828"/>
      <c r="N162" s="828"/>
      <c r="O162" s="828"/>
      <c r="P162" s="828"/>
      <c r="Q162" s="828"/>
      <c r="R162" s="828"/>
      <c r="S162" s="828"/>
      <c r="T162" s="828"/>
      <c r="U162" s="828"/>
      <c r="V162" s="828"/>
      <c r="W162" s="828"/>
      <c r="X162" s="828"/>
      <c r="Y162" s="828"/>
      <c r="Z162" s="828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</row>
    <row r="163" spans="1:40" ht="15" x14ac:dyDescent="0.2">
      <c r="A163" s="122"/>
      <c r="B163" s="122"/>
      <c r="C163" s="122"/>
      <c r="D163" s="122"/>
      <c r="E163" s="122"/>
      <c r="F163" s="122"/>
      <c r="G163" s="828"/>
      <c r="H163" s="828"/>
      <c r="I163" s="828"/>
      <c r="J163" s="828"/>
      <c r="K163" s="828"/>
      <c r="L163" s="828"/>
      <c r="M163" s="828"/>
      <c r="N163" s="828"/>
      <c r="O163" s="828"/>
      <c r="P163" s="828"/>
      <c r="Q163" s="828"/>
      <c r="R163" s="828"/>
      <c r="S163" s="828"/>
      <c r="T163" s="828"/>
      <c r="U163" s="828"/>
      <c r="V163" s="828"/>
      <c r="W163" s="828"/>
      <c r="X163" s="828"/>
      <c r="Y163" s="828"/>
      <c r="Z163" s="828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</row>
    <row r="164" spans="1:40" ht="15" x14ac:dyDescent="0.2">
      <c r="A164" s="122"/>
      <c r="B164" s="122"/>
      <c r="C164" s="122"/>
      <c r="D164" s="122"/>
      <c r="E164" s="122"/>
      <c r="F164" s="122"/>
      <c r="G164" s="828"/>
      <c r="H164" s="828"/>
      <c r="I164" s="828"/>
      <c r="J164" s="828"/>
      <c r="K164" s="828"/>
      <c r="L164" s="828"/>
      <c r="M164" s="828"/>
      <c r="N164" s="828"/>
      <c r="O164" s="828"/>
      <c r="P164" s="828"/>
      <c r="Q164" s="828"/>
      <c r="R164" s="828"/>
      <c r="S164" s="828"/>
      <c r="T164" s="828"/>
      <c r="U164" s="828"/>
      <c r="V164" s="828"/>
      <c r="W164" s="828"/>
      <c r="X164" s="828"/>
      <c r="Y164" s="828"/>
      <c r="Z164" s="828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</row>
    <row r="165" spans="1:40" ht="15" x14ac:dyDescent="0.2">
      <c r="A165" s="122"/>
      <c r="B165" s="122"/>
      <c r="C165" s="122"/>
      <c r="D165" s="122"/>
      <c r="E165" s="122"/>
      <c r="F165" s="122"/>
      <c r="G165" s="828"/>
      <c r="H165" s="828"/>
      <c r="I165" s="828"/>
      <c r="J165" s="828"/>
      <c r="K165" s="828"/>
      <c r="L165" s="828"/>
      <c r="M165" s="828"/>
      <c r="N165" s="828"/>
      <c r="O165" s="828"/>
      <c r="P165" s="828"/>
      <c r="Q165" s="828"/>
      <c r="R165" s="828"/>
      <c r="S165" s="828"/>
      <c r="T165" s="828"/>
      <c r="U165" s="828"/>
      <c r="V165" s="828"/>
      <c r="W165" s="828"/>
      <c r="X165" s="828"/>
      <c r="Y165" s="828"/>
      <c r="Z165" s="828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</row>
    <row r="166" spans="1:40" ht="15" x14ac:dyDescent="0.2">
      <c r="A166" s="122"/>
      <c r="B166" s="122"/>
      <c r="C166" s="122"/>
      <c r="D166" s="122"/>
      <c r="E166" s="122"/>
      <c r="F166" s="122"/>
      <c r="G166" s="828"/>
      <c r="H166" s="828"/>
      <c r="I166" s="828"/>
      <c r="J166" s="828"/>
      <c r="K166" s="828"/>
      <c r="L166" s="828"/>
      <c r="M166" s="828"/>
      <c r="N166" s="828"/>
      <c r="O166" s="828"/>
      <c r="P166" s="828"/>
      <c r="Q166" s="828"/>
      <c r="R166" s="828"/>
      <c r="S166" s="828"/>
      <c r="T166" s="828"/>
      <c r="U166" s="828"/>
      <c r="V166" s="828"/>
      <c r="W166" s="828"/>
      <c r="X166" s="828"/>
      <c r="Y166" s="828"/>
      <c r="Z166" s="828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</row>
    <row r="167" spans="1:40" ht="15" x14ac:dyDescent="0.2">
      <c r="A167" s="122"/>
      <c r="B167" s="122"/>
      <c r="C167" s="122"/>
      <c r="D167" s="122"/>
      <c r="E167" s="122"/>
      <c r="F167" s="122"/>
      <c r="G167" s="828"/>
      <c r="H167" s="828"/>
      <c r="I167" s="828"/>
      <c r="J167" s="828"/>
      <c r="K167" s="828"/>
      <c r="L167" s="828"/>
      <c r="M167" s="828"/>
      <c r="N167" s="828"/>
      <c r="O167" s="828"/>
      <c r="P167" s="828"/>
      <c r="Q167" s="828"/>
      <c r="R167" s="828"/>
      <c r="S167" s="828"/>
      <c r="T167" s="828"/>
      <c r="U167" s="828"/>
      <c r="V167" s="828"/>
      <c r="W167" s="828"/>
      <c r="X167" s="828"/>
      <c r="Y167" s="828"/>
      <c r="Z167" s="828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</row>
    <row r="168" spans="1:40" ht="15" x14ac:dyDescent="0.2">
      <c r="A168" s="122"/>
      <c r="B168" s="122"/>
      <c r="C168" s="122"/>
      <c r="D168" s="122"/>
      <c r="E168" s="122"/>
      <c r="F168" s="122"/>
      <c r="G168" s="828"/>
      <c r="H168" s="828"/>
      <c r="I168" s="828"/>
      <c r="J168" s="828"/>
      <c r="K168" s="828"/>
      <c r="L168" s="828"/>
      <c r="M168" s="828"/>
      <c r="N168" s="828"/>
      <c r="O168" s="828"/>
      <c r="P168" s="828"/>
      <c r="Q168" s="828"/>
      <c r="R168" s="828"/>
      <c r="S168" s="828"/>
      <c r="T168" s="828"/>
      <c r="U168" s="828"/>
      <c r="V168" s="828"/>
      <c r="W168" s="828"/>
      <c r="X168" s="828"/>
      <c r="Y168" s="828"/>
      <c r="Z168" s="828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</row>
    <row r="169" spans="1:40" ht="15" x14ac:dyDescent="0.2">
      <c r="A169" s="122"/>
      <c r="B169" s="122"/>
      <c r="C169" s="122"/>
      <c r="D169" s="122"/>
      <c r="E169" s="122"/>
      <c r="F169" s="122"/>
      <c r="G169" s="828"/>
      <c r="H169" s="828"/>
      <c r="I169" s="828"/>
      <c r="J169" s="828"/>
      <c r="K169" s="828"/>
      <c r="L169" s="828"/>
      <c r="M169" s="828"/>
      <c r="N169" s="828"/>
      <c r="O169" s="828"/>
      <c r="P169" s="828"/>
      <c r="Q169" s="828"/>
      <c r="R169" s="828"/>
      <c r="S169" s="828"/>
      <c r="T169" s="828"/>
      <c r="U169" s="828"/>
      <c r="V169" s="828"/>
      <c r="W169" s="828"/>
      <c r="X169" s="828"/>
      <c r="Y169" s="828"/>
      <c r="Z169" s="828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</row>
    <row r="170" spans="1:40" ht="15" x14ac:dyDescent="0.2">
      <c r="A170" s="122"/>
      <c r="B170" s="122"/>
      <c r="C170" s="122"/>
      <c r="D170" s="122"/>
      <c r="E170" s="122"/>
      <c r="F170" s="122"/>
      <c r="G170" s="828"/>
      <c r="H170" s="828"/>
      <c r="I170" s="828"/>
      <c r="J170" s="828"/>
      <c r="K170" s="828"/>
      <c r="L170" s="828"/>
      <c r="M170" s="828"/>
      <c r="N170" s="828"/>
      <c r="O170" s="828"/>
      <c r="P170" s="828"/>
      <c r="Q170" s="828"/>
      <c r="R170" s="828"/>
      <c r="S170" s="828"/>
      <c r="T170" s="828"/>
      <c r="U170" s="828"/>
      <c r="V170" s="828"/>
      <c r="W170" s="828"/>
      <c r="X170" s="828"/>
      <c r="Y170" s="828"/>
      <c r="Z170" s="828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</row>
    <row r="171" spans="1:40" ht="15" x14ac:dyDescent="0.2">
      <c r="A171" s="122"/>
      <c r="B171" s="122"/>
      <c r="C171" s="122"/>
      <c r="D171" s="122"/>
      <c r="E171" s="122"/>
      <c r="F171" s="122"/>
      <c r="G171" s="828"/>
      <c r="H171" s="828"/>
      <c r="I171" s="828"/>
      <c r="J171" s="828"/>
      <c r="K171" s="828"/>
      <c r="L171" s="828"/>
      <c r="M171" s="828"/>
      <c r="N171" s="828"/>
      <c r="O171" s="828"/>
      <c r="P171" s="828"/>
      <c r="Q171" s="828"/>
      <c r="R171" s="828"/>
      <c r="S171" s="828"/>
      <c r="T171" s="828"/>
      <c r="U171" s="828"/>
      <c r="V171" s="828"/>
      <c r="W171" s="828"/>
      <c r="X171" s="828"/>
      <c r="Y171" s="828"/>
      <c r="Z171" s="828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</row>
    <row r="172" spans="1:40" ht="15" x14ac:dyDescent="0.2">
      <c r="A172" s="122"/>
      <c r="B172" s="122"/>
      <c r="C172" s="122"/>
      <c r="D172" s="122"/>
      <c r="E172" s="122"/>
      <c r="F172" s="122"/>
      <c r="G172" s="828"/>
      <c r="H172" s="828"/>
      <c r="I172" s="828"/>
      <c r="J172" s="828"/>
      <c r="K172" s="828"/>
      <c r="L172" s="828"/>
      <c r="M172" s="828"/>
      <c r="N172" s="828"/>
      <c r="O172" s="828"/>
      <c r="P172" s="828"/>
      <c r="Q172" s="828"/>
      <c r="R172" s="828"/>
      <c r="S172" s="828"/>
      <c r="T172" s="828"/>
      <c r="U172" s="828"/>
      <c r="V172" s="828"/>
      <c r="W172" s="828"/>
      <c r="X172" s="828"/>
      <c r="Y172" s="828"/>
      <c r="Z172" s="828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</row>
    <row r="173" spans="1:40" ht="15" x14ac:dyDescent="0.2">
      <c r="A173" s="122"/>
      <c r="B173" s="122"/>
      <c r="C173" s="122"/>
      <c r="D173" s="122"/>
      <c r="E173" s="122"/>
      <c r="F173" s="122"/>
      <c r="G173" s="828"/>
      <c r="H173" s="828"/>
      <c r="I173" s="828"/>
      <c r="J173" s="828"/>
      <c r="K173" s="828"/>
      <c r="L173" s="828"/>
      <c r="M173" s="828"/>
      <c r="N173" s="828"/>
      <c r="O173" s="828"/>
      <c r="P173" s="828"/>
      <c r="Q173" s="828"/>
      <c r="R173" s="828"/>
      <c r="S173" s="828"/>
      <c r="T173" s="828"/>
      <c r="U173" s="828"/>
      <c r="V173" s="828"/>
      <c r="W173" s="828"/>
      <c r="X173" s="828"/>
      <c r="Y173" s="828"/>
      <c r="Z173" s="828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</row>
    <row r="174" spans="1:40" ht="15" x14ac:dyDescent="0.2">
      <c r="A174" s="122"/>
      <c r="B174" s="122"/>
      <c r="C174" s="122"/>
      <c r="D174" s="122"/>
      <c r="E174" s="122"/>
      <c r="F174" s="122"/>
      <c r="G174" s="828"/>
      <c r="H174" s="828"/>
      <c r="I174" s="828"/>
      <c r="J174" s="828"/>
      <c r="K174" s="828"/>
      <c r="L174" s="828"/>
      <c r="M174" s="828"/>
      <c r="N174" s="828"/>
      <c r="O174" s="828"/>
      <c r="P174" s="828"/>
      <c r="Q174" s="828"/>
      <c r="R174" s="828"/>
      <c r="S174" s="828"/>
      <c r="T174" s="828"/>
      <c r="U174" s="828"/>
      <c r="V174" s="828"/>
      <c r="W174" s="828"/>
      <c r="X174" s="828"/>
      <c r="Y174" s="828"/>
      <c r="Z174" s="828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</row>
    <row r="175" spans="1:40" ht="15" x14ac:dyDescent="0.2">
      <c r="A175" s="122"/>
      <c r="B175" s="122"/>
      <c r="C175" s="122"/>
      <c r="D175" s="122"/>
      <c r="E175" s="122"/>
      <c r="F175" s="122"/>
      <c r="G175" s="828"/>
      <c r="H175" s="828"/>
      <c r="I175" s="828"/>
      <c r="J175" s="828"/>
      <c r="K175" s="828"/>
      <c r="L175" s="828"/>
      <c r="M175" s="828"/>
      <c r="N175" s="828"/>
      <c r="O175" s="828"/>
      <c r="P175" s="828"/>
      <c r="Q175" s="828"/>
      <c r="R175" s="828"/>
      <c r="S175" s="828"/>
      <c r="T175" s="828"/>
      <c r="U175" s="828"/>
      <c r="V175" s="828"/>
      <c r="W175" s="828"/>
      <c r="X175" s="828"/>
      <c r="Y175" s="828"/>
      <c r="Z175" s="828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</row>
    <row r="176" spans="1:40" ht="15" x14ac:dyDescent="0.2">
      <c r="A176" s="122"/>
      <c r="B176" s="122"/>
      <c r="C176" s="122"/>
      <c r="D176" s="122"/>
      <c r="E176" s="122"/>
      <c r="F176" s="122"/>
      <c r="G176" s="828"/>
      <c r="H176" s="828"/>
      <c r="I176" s="828"/>
      <c r="J176" s="828"/>
      <c r="K176" s="828"/>
      <c r="L176" s="828"/>
      <c r="M176" s="828"/>
      <c r="N176" s="828"/>
      <c r="O176" s="828"/>
      <c r="P176" s="828"/>
      <c r="Q176" s="828"/>
      <c r="R176" s="828"/>
      <c r="S176" s="828"/>
      <c r="T176" s="828"/>
      <c r="U176" s="828"/>
      <c r="V176" s="828"/>
      <c r="W176" s="828"/>
      <c r="X176" s="828"/>
      <c r="Y176" s="828"/>
      <c r="Z176" s="828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</row>
    <row r="177" spans="1:40" ht="15" x14ac:dyDescent="0.2">
      <c r="A177" s="122"/>
      <c r="B177" s="122"/>
      <c r="C177" s="122"/>
      <c r="D177" s="122"/>
      <c r="E177" s="122"/>
      <c r="F177" s="122"/>
      <c r="G177" s="828"/>
      <c r="H177" s="828"/>
      <c r="I177" s="828"/>
      <c r="J177" s="828"/>
      <c r="K177" s="828"/>
      <c r="L177" s="828"/>
      <c r="M177" s="828"/>
      <c r="N177" s="828"/>
      <c r="O177" s="828"/>
      <c r="P177" s="828"/>
      <c r="Q177" s="828"/>
      <c r="R177" s="828"/>
      <c r="S177" s="828"/>
      <c r="T177" s="828"/>
      <c r="U177" s="828"/>
      <c r="V177" s="828"/>
      <c r="W177" s="828"/>
      <c r="X177" s="828"/>
      <c r="Y177" s="828"/>
      <c r="Z177" s="828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</row>
    <row r="178" spans="1:40" ht="15" x14ac:dyDescent="0.2">
      <c r="A178" s="122"/>
      <c r="B178" s="122"/>
      <c r="C178" s="122"/>
      <c r="D178" s="122"/>
      <c r="E178" s="122"/>
      <c r="F178" s="122"/>
      <c r="G178" s="828"/>
      <c r="H178" s="828"/>
      <c r="I178" s="828"/>
      <c r="J178" s="828"/>
      <c r="K178" s="828"/>
      <c r="L178" s="828"/>
      <c r="M178" s="828"/>
      <c r="N178" s="828"/>
      <c r="O178" s="828"/>
      <c r="P178" s="828"/>
      <c r="Q178" s="828"/>
      <c r="R178" s="828"/>
      <c r="S178" s="828"/>
      <c r="T178" s="828"/>
      <c r="U178" s="828"/>
      <c r="V178" s="828"/>
      <c r="W178" s="828"/>
      <c r="X178" s="828"/>
      <c r="Y178" s="828"/>
      <c r="Z178" s="828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</row>
    <row r="179" spans="1:40" ht="15" x14ac:dyDescent="0.2">
      <c r="A179" s="122"/>
      <c r="B179" s="122"/>
      <c r="C179" s="122"/>
      <c r="D179" s="122"/>
      <c r="E179" s="122"/>
      <c r="F179" s="122"/>
      <c r="G179" s="828"/>
      <c r="H179" s="828"/>
      <c r="I179" s="828"/>
      <c r="J179" s="828"/>
      <c r="K179" s="828"/>
      <c r="L179" s="828"/>
      <c r="M179" s="828"/>
      <c r="N179" s="828"/>
      <c r="O179" s="828"/>
      <c r="P179" s="828"/>
      <c r="Q179" s="828"/>
      <c r="R179" s="828"/>
      <c r="S179" s="828"/>
      <c r="T179" s="828"/>
      <c r="U179" s="828"/>
      <c r="V179" s="828"/>
      <c r="W179" s="828"/>
      <c r="X179" s="828"/>
      <c r="Y179" s="828"/>
      <c r="Z179" s="828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</row>
    <row r="180" spans="1:40" ht="15" x14ac:dyDescent="0.2">
      <c r="A180" s="122"/>
      <c r="B180" s="122"/>
      <c r="C180" s="122"/>
      <c r="D180" s="122"/>
      <c r="E180" s="122"/>
      <c r="F180" s="122"/>
      <c r="G180" s="828"/>
      <c r="H180" s="828"/>
      <c r="I180" s="828"/>
      <c r="J180" s="828"/>
      <c r="K180" s="828"/>
      <c r="L180" s="828"/>
      <c r="M180" s="828"/>
      <c r="N180" s="828"/>
      <c r="O180" s="828"/>
      <c r="P180" s="828"/>
      <c r="Q180" s="828"/>
      <c r="R180" s="828"/>
      <c r="S180" s="828"/>
      <c r="T180" s="828"/>
      <c r="U180" s="828"/>
      <c r="V180" s="828"/>
      <c r="W180" s="828"/>
      <c r="X180" s="828"/>
      <c r="Y180" s="828"/>
      <c r="Z180" s="828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</row>
    <row r="181" spans="1:40" ht="15" x14ac:dyDescent="0.2">
      <c r="A181" s="122"/>
      <c r="B181" s="122"/>
      <c r="C181" s="122"/>
      <c r="D181" s="122"/>
      <c r="E181" s="122"/>
      <c r="F181" s="122"/>
      <c r="G181" s="828"/>
      <c r="H181" s="828"/>
      <c r="I181" s="828"/>
      <c r="J181" s="828"/>
      <c r="K181" s="828"/>
      <c r="L181" s="828"/>
      <c r="M181" s="828"/>
      <c r="N181" s="828"/>
      <c r="O181" s="828"/>
      <c r="P181" s="828"/>
      <c r="Q181" s="828"/>
      <c r="R181" s="828"/>
      <c r="S181" s="828"/>
      <c r="T181" s="828"/>
      <c r="U181" s="828"/>
      <c r="V181" s="828"/>
      <c r="W181" s="828"/>
      <c r="X181" s="828"/>
      <c r="Y181" s="828"/>
      <c r="Z181" s="828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</row>
    <row r="182" spans="1:40" ht="15" x14ac:dyDescent="0.2">
      <c r="A182" s="122"/>
      <c r="B182" s="122"/>
      <c r="C182" s="122"/>
      <c r="D182" s="122"/>
      <c r="E182" s="122"/>
      <c r="F182" s="122"/>
      <c r="G182" s="828"/>
      <c r="H182" s="828"/>
      <c r="I182" s="828"/>
      <c r="J182" s="828"/>
      <c r="K182" s="828"/>
      <c r="L182" s="828"/>
      <c r="M182" s="828"/>
      <c r="N182" s="828"/>
      <c r="O182" s="828"/>
      <c r="P182" s="828"/>
      <c r="Q182" s="828"/>
      <c r="R182" s="828"/>
      <c r="S182" s="828"/>
      <c r="T182" s="828"/>
      <c r="U182" s="828"/>
      <c r="V182" s="828"/>
      <c r="W182" s="828"/>
      <c r="X182" s="828"/>
      <c r="Y182" s="828"/>
      <c r="Z182" s="828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</row>
    <row r="183" spans="1:40" ht="15" x14ac:dyDescent="0.2">
      <c r="A183" s="122"/>
      <c r="B183" s="122"/>
      <c r="C183" s="122"/>
      <c r="D183" s="122"/>
      <c r="E183" s="122"/>
      <c r="F183" s="122"/>
      <c r="G183" s="828"/>
      <c r="H183" s="828"/>
      <c r="I183" s="828"/>
      <c r="J183" s="828"/>
      <c r="K183" s="828"/>
      <c r="L183" s="828"/>
      <c r="M183" s="828"/>
      <c r="N183" s="828"/>
      <c r="O183" s="828"/>
      <c r="P183" s="828"/>
      <c r="Q183" s="828"/>
      <c r="R183" s="828"/>
      <c r="S183" s="828"/>
      <c r="T183" s="828"/>
      <c r="U183" s="828"/>
      <c r="V183" s="828"/>
      <c r="W183" s="828"/>
      <c r="X183" s="828"/>
      <c r="Y183" s="828"/>
      <c r="Z183" s="828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</row>
    <row r="184" spans="1:40" ht="15" x14ac:dyDescent="0.2">
      <c r="A184" s="122"/>
      <c r="B184" s="122"/>
      <c r="C184" s="122"/>
      <c r="D184" s="122"/>
      <c r="E184" s="122"/>
      <c r="F184" s="122"/>
      <c r="G184" s="828"/>
      <c r="H184" s="828"/>
      <c r="I184" s="828"/>
      <c r="J184" s="828"/>
      <c r="K184" s="828"/>
      <c r="L184" s="828"/>
      <c r="M184" s="828"/>
      <c r="N184" s="828"/>
      <c r="O184" s="828"/>
      <c r="P184" s="828"/>
      <c r="Q184" s="828"/>
      <c r="R184" s="828"/>
      <c r="S184" s="828"/>
      <c r="T184" s="828"/>
      <c r="U184" s="828"/>
      <c r="V184" s="828"/>
      <c r="W184" s="828"/>
      <c r="X184" s="828"/>
      <c r="Y184" s="828"/>
      <c r="Z184" s="828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</row>
    <row r="185" spans="1:40" ht="15" x14ac:dyDescent="0.2">
      <c r="A185" s="122"/>
      <c r="B185" s="122"/>
      <c r="C185" s="122"/>
      <c r="D185" s="122"/>
      <c r="E185" s="122"/>
      <c r="F185" s="122"/>
      <c r="G185" s="828"/>
      <c r="H185" s="828"/>
      <c r="I185" s="828"/>
      <c r="J185" s="828"/>
      <c r="K185" s="828"/>
      <c r="L185" s="828"/>
      <c r="M185" s="828"/>
      <c r="N185" s="828"/>
      <c r="O185" s="828"/>
      <c r="P185" s="828"/>
      <c r="Q185" s="828"/>
      <c r="R185" s="828"/>
      <c r="S185" s="828"/>
      <c r="T185" s="828"/>
      <c r="U185" s="828"/>
      <c r="V185" s="828"/>
      <c r="W185" s="828"/>
      <c r="X185" s="828"/>
      <c r="Y185" s="828"/>
      <c r="Z185" s="828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</row>
    <row r="186" spans="1:40" ht="15" x14ac:dyDescent="0.2">
      <c r="A186" s="122"/>
      <c r="B186" s="122"/>
      <c r="C186" s="122"/>
      <c r="D186" s="122"/>
      <c r="E186" s="122"/>
      <c r="F186" s="122"/>
      <c r="G186" s="828"/>
      <c r="H186" s="828"/>
      <c r="I186" s="828"/>
      <c r="J186" s="828"/>
      <c r="K186" s="828"/>
      <c r="L186" s="828"/>
      <c r="M186" s="828"/>
      <c r="N186" s="828"/>
      <c r="O186" s="828"/>
      <c r="P186" s="828"/>
      <c r="Q186" s="828"/>
      <c r="R186" s="828"/>
      <c r="S186" s="828"/>
      <c r="T186" s="828"/>
      <c r="U186" s="828"/>
      <c r="V186" s="828"/>
      <c r="W186" s="828"/>
      <c r="X186" s="828"/>
      <c r="Y186" s="828"/>
      <c r="Z186" s="828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</row>
    <row r="187" spans="1:40" ht="15" x14ac:dyDescent="0.2">
      <c r="A187" s="122"/>
      <c r="B187" s="122"/>
      <c r="C187" s="122"/>
      <c r="D187" s="122"/>
      <c r="E187" s="122"/>
      <c r="F187" s="122"/>
      <c r="G187" s="828"/>
      <c r="H187" s="828"/>
      <c r="I187" s="828"/>
      <c r="J187" s="828"/>
      <c r="K187" s="828"/>
      <c r="L187" s="828"/>
      <c r="M187" s="828"/>
      <c r="N187" s="828"/>
      <c r="O187" s="828"/>
      <c r="P187" s="828"/>
      <c r="Q187" s="828"/>
      <c r="R187" s="828"/>
      <c r="S187" s="828"/>
      <c r="T187" s="828"/>
      <c r="U187" s="828"/>
      <c r="V187" s="828"/>
      <c r="W187" s="828"/>
      <c r="X187" s="828"/>
      <c r="Y187" s="828"/>
      <c r="Z187" s="828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</row>
    <row r="188" spans="1:40" ht="15" x14ac:dyDescent="0.2">
      <c r="A188" s="122"/>
      <c r="B188" s="122"/>
      <c r="C188" s="122"/>
      <c r="D188" s="122"/>
      <c r="E188" s="122"/>
      <c r="F188" s="122"/>
      <c r="G188" s="828"/>
      <c r="H188" s="828"/>
      <c r="I188" s="828"/>
      <c r="J188" s="828"/>
      <c r="K188" s="828"/>
      <c r="L188" s="828"/>
      <c r="M188" s="828"/>
      <c r="N188" s="828"/>
      <c r="O188" s="828"/>
      <c r="P188" s="828"/>
      <c r="Q188" s="828"/>
      <c r="R188" s="828"/>
      <c r="S188" s="828"/>
      <c r="T188" s="828"/>
      <c r="U188" s="828"/>
      <c r="V188" s="828"/>
      <c r="W188" s="828"/>
      <c r="X188" s="828"/>
      <c r="Y188" s="828"/>
      <c r="Z188" s="828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</row>
    <row r="189" spans="1:40" ht="15" x14ac:dyDescent="0.2">
      <c r="A189" s="122"/>
      <c r="B189" s="122"/>
      <c r="C189" s="122"/>
      <c r="D189" s="122"/>
      <c r="E189" s="122"/>
      <c r="F189" s="122"/>
      <c r="G189" s="828"/>
      <c r="H189" s="828"/>
      <c r="I189" s="828"/>
      <c r="J189" s="828"/>
      <c r="K189" s="828"/>
      <c r="L189" s="828"/>
      <c r="M189" s="828"/>
      <c r="N189" s="828"/>
      <c r="O189" s="828"/>
      <c r="P189" s="828"/>
      <c r="Q189" s="828"/>
      <c r="R189" s="828"/>
      <c r="S189" s="828"/>
      <c r="T189" s="828"/>
      <c r="U189" s="828"/>
      <c r="V189" s="828"/>
      <c r="W189" s="828"/>
      <c r="X189" s="828"/>
      <c r="Y189" s="828"/>
      <c r="Z189" s="828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</row>
    <row r="190" spans="1:40" ht="15" x14ac:dyDescent="0.2">
      <c r="A190" s="122"/>
      <c r="B190" s="122"/>
      <c r="C190" s="122"/>
      <c r="D190" s="122"/>
      <c r="E190" s="122"/>
      <c r="F190" s="122"/>
      <c r="G190" s="828"/>
      <c r="H190" s="828"/>
      <c r="I190" s="828"/>
      <c r="J190" s="828"/>
      <c r="K190" s="828"/>
      <c r="L190" s="828"/>
      <c r="M190" s="828"/>
      <c r="N190" s="828"/>
      <c r="O190" s="828"/>
      <c r="P190" s="828"/>
      <c r="Q190" s="828"/>
      <c r="R190" s="828"/>
      <c r="S190" s="828"/>
      <c r="T190" s="828"/>
      <c r="U190" s="828"/>
      <c r="V190" s="828"/>
      <c r="W190" s="828"/>
      <c r="X190" s="828"/>
      <c r="Y190" s="828"/>
      <c r="Z190" s="828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</row>
    <row r="191" spans="1:40" ht="15" x14ac:dyDescent="0.2">
      <c r="A191" s="122"/>
      <c r="B191" s="122"/>
      <c r="C191" s="122"/>
      <c r="D191" s="122"/>
      <c r="E191" s="122"/>
      <c r="F191" s="122"/>
      <c r="G191" s="828"/>
      <c r="H191" s="828"/>
      <c r="I191" s="828"/>
      <c r="J191" s="828"/>
      <c r="K191" s="828"/>
      <c r="L191" s="828"/>
      <c r="M191" s="828"/>
      <c r="N191" s="828"/>
      <c r="O191" s="828"/>
      <c r="P191" s="828"/>
      <c r="Q191" s="828"/>
      <c r="R191" s="828"/>
      <c r="S191" s="828"/>
      <c r="T191" s="828"/>
      <c r="U191" s="828"/>
      <c r="V191" s="828"/>
      <c r="W191" s="828"/>
      <c r="X191" s="828"/>
      <c r="Y191" s="828"/>
      <c r="Z191" s="828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3"/>
  <sheetViews>
    <sheetView zoomScale="70" zoomScaleNormal="70" workbookViewId="0">
      <selection activeCell="E25" sqref="E25"/>
    </sheetView>
  </sheetViews>
  <sheetFormatPr baseColWidth="10" defaultColWidth="11.42578125" defaultRowHeight="12.75" x14ac:dyDescent="0.2"/>
  <cols>
    <col min="1" max="1" width="43" style="16" customWidth="1"/>
    <col min="2" max="2" width="24.42578125" style="16" customWidth="1"/>
    <col min="3" max="3" width="19.140625" style="16" customWidth="1"/>
    <col min="4" max="4" width="19.5703125" style="16" customWidth="1"/>
    <col min="5" max="5" width="20.5703125" style="16" customWidth="1"/>
    <col min="6" max="6" width="18.7109375" style="16" customWidth="1"/>
    <col min="7" max="8" width="22.5703125" style="16" customWidth="1"/>
    <col min="9" max="16384" width="11.42578125" style="16"/>
  </cols>
  <sheetData>
    <row r="1" spans="1:13" ht="15.75" x14ac:dyDescent="0.25">
      <c r="A1" s="829" t="s">
        <v>0</v>
      </c>
      <c r="B1" s="134"/>
      <c r="C1" s="134"/>
      <c r="D1" s="134"/>
      <c r="E1" s="830">
        <f>InfoInicial!E1</f>
        <v>8</v>
      </c>
      <c r="F1" s="134"/>
      <c r="G1" s="134"/>
      <c r="H1" s="134"/>
      <c r="I1" s="134"/>
      <c r="J1" s="134"/>
      <c r="K1" s="134"/>
      <c r="L1" s="134"/>
      <c r="M1" s="134"/>
    </row>
    <row r="2" spans="1:13" ht="15.75" x14ac:dyDescent="0.25">
      <c r="A2" s="831" t="s">
        <v>210</v>
      </c>
      <c r="B2" s="832"/>
      <c r="C2" s="832"/>
      <c r="D2" s="832"/>
      <c r="E2" s="832"/>
      <c r="F2" s="832"/>
      <c r="G2" s="833"/>
      <c r="H2" s="134"/>
      <c r="I2" s="134"/>
      <c r="J2" s="134"/>
      <c r="K2" s="134"/>
      <c r="L2" s="134"/>
      <c r="M2" s="134"/>
    </row>
    <row r="3" spans="1:13" ht="15.75" x14ac:dyDescent="0.25">
      <c r="A3" s="834"/>
      <c r="B3" s="835" t="s">
        <v>211</v>
      </c>
      <c r="C3" s="835"/>
      <c r="D3" s="835"/>
      <c r="E3" s="835"/>
      <c r="F3" s="835"/>
      <c r="G3" s="836"/>
      <c r="H3" s="134"/>
      <c r="I3" s="138"/>
      <c r="J3" s="134"/>
      <c r="K3" s="134"/>
      <c r="L3" s="134"/>
      <c r="M3" s="134"/>
    </row>
    <row r="4" spans="1:13" ht="15.75" x14ac:dyDescent="0.25">
      <c r="A4" s="837" t="s">
        <v>88</v>
      </c>
      <c r="B4" s="838" t="s">
        <v>47</v>
      </c>
      <c r="C4" s="839" t="s">
        <v>48</v>
      </c>
      <c r="D4" s="839" t="s">
        <v>89</v>
      </c>
      <c r="E4" s="839" t="s">
        <v>90</v>
      </c>
      <c r="F4" s="839" t="s">
        <v>91</v>
      </c>
      <c r="G4" s="840" t="s">
        <v>92</v>
      </c>
      <c r="H4" s="134"/>
      <c r="I4" s="134"/>
      <c r="J4" s="134"/>
      <c r="K4" s="134"/>
      <c r="L4" s="134"/>
      <c r="M4" s="134"/>
    </row>
    <row r="5" spans="1:13" ht="15.75" x14ac:dyDescent="0.25">
      <c r="A5" s="841" t="s">
        <v>304</v>
      </c>
      <c r="B5" s="842"/>
      <c r="C5" s="843"/>
      <c r="D5" s="843"/>
      <c r="E5" s="843"/>
      <c r="F5" s="843"/>
      <c r="G5" s="844"/>
      <c r="H5" s="134"/>
      <c r="I5" s="134"/>
      <c r="J5" s="134"/>
      <c r="K5" s="134"/>
      <c r="L5" s="134"/>
      <c r="M5" s="134"/>
    </row>
    <row r="6" spans="1:13" ht="15" x14ac:dyDescent="0.2">
      <c r="A6" s="845" t="s">
        <v>305</v>
      </c>
      <c r="B6" s="846"/>
      <c r="C6" s="847">
        <f>+'E-IVA '!C17</f>
        <v>1417033.0635347643</v>
      </c>
      <c r="D6" s="847">
        <f>+'E-IVA '!D17</f>
        <v>1624289.5869725565</v>
      </c>
      <c r="E6" s="847">
        <f>+'E-IVA '!E17</f>
        <v>1623783.593717434</v>
      </c>
      <c r="F6" s="847">
        <f>+'E-IVA '!F17</f>
        <v>1623793.9375488339</v>
      </c>
      <c r="G6" s="847">
        <f>+'E-IVA '!G17</f>
        <v>1623793.9375488339</v>
      </c>
      <c r="H6" s="134"/>
      <c r="I6" s="134"/>
      <c r="J6" s="134"/>
      <c r="K6" s="134"/>
      <c r="L6" s="134"/>
      <c r="M6" s="134"/>
    </row>
    <row r="7" spans="1:13" ht="15" x14ac:dyDescent="0.2">
      <c r="A7" s="845" t="s">
        <v>306</v>
      </c>
      <c r="B7" s="846"/>
      <c r="C7" s="847">
        <f>+'E-IVA '!C18</f>
        <v>67560.85022511764</v>
      </c>
      <c r="D7" s="847">
        <f>+'E-IVA '!D18</f>
        <v>72150.71677457515</v>
      </c>
      <c r="E7" s="847">
        <f>+'E-IVA '!E18</f>
        <v>72150.71677457515</v>
      </c>
      <c r="F7" s="847">
        <f>+'E-IVA '!F18</f>
        <v>72150.71677457515</v>
      </c>
      <c r="G7" s="847">
        <f>+'E-IVA '!G18</f>
        <v>72150.71677457515</v>
      </c>
      <c r="H7" s="134"/>
      <c r="I7" s="134"/>
      <c r="J7" s="134"/>
      <c r="K7" s="134"/>
      <c r="L7" s="134"/>
      <c r="M7" s="134"/>
    </row>
    <row r="8" spans="1:13" ht="15" x14ac:dyDescent="0.2">
      <c r="A8" s="848" t="s">
        <v>307</v>
      </c>
      <c r="B8" s="846"/>
      <c r="C8" s="847">
        <f>+'E-IVA '!C19</f>
        <v>42932.6237703878</v>
      </c>
      <c r="D8" s="847">
        <f>+'E-IVA '!D19</f>
        <v>43321.282914355157</v>
      </c>
      <c r="E8" s="847">
        <f>+'E-IVA '!E19</f>
        <v>43321.282914355157</v>
      </c>
      <c r="F8" s="847">
        <f>+'E-IVA '!F19</f>
        <v>43321.282914355157</v>
      </c>
      <c r="G8" s="847">
        <f>+'E-IVA '!G19</f>
        <v>43321.282914355157</v>
      </c>
      <c r="H8" s="134"/>
      <c r="I8" s="134"/>
      <c r="J8" s="134"/>
      <c r="K8" s="134"/>
      <c r="L8" s="134"/>
      <c r="M8" s="134"/>
    </row>
    <row r="9" spans="1:13" ht="15" x14ac:dyDescent="0.2">
      <c r="A9" s="848" t="s">
        <v>308</v>
      </c>
      <c r="B9" s="846"/>
      <c r="C9" s="847">
        <f>+InfoInicial!$B$3*('Gasto financiero'!$C$2+'Gasto financiero'!$D$2)</f>
        <v>437711.03294559137</v>
      </c>
      <c r="D9" s="847">
        <f>+InfoInicial!$B$3*('Gasto financiero'!$C$3+'Gasto financiero'!$D$3)</f>
        <v>437711.03294559137</v>
      </c>
      <c r="E9" s="847">
        <f>+InfoInicial!$B$3*('Gasto financiero'!$C$4+'Gasto financiero'!$D$4)</f>
        <v>409808.06984625134</v>
      </c>
      <c r="F9" s="847">
        <f>+InfoInicial!$B$3*('Gasto financiero'!$C$5+'Gasto financiero'!$D$5)</f>
        <v>372604.11904713133</v>
      </c>
      <c r="G9" s="847">
        <f>+InfoInicial!$B$3*('Gasto financiero'!$C$6+'Gasto financiero'!$D$6)</f>
        <v>335400.16824801132</v>
      </c>
      <c r="H9" s="134"/>
      <c r="I9" s="134"/>
      <c r="J9" s="134"/>
      <c r="K9" s="134"/>
      <c r="L9" s="134"/>
      <c r="M9" s="134"/>
    </row>
    <row r="10" spans="1:13" ht="15.75" x14ac:dyDescent="0.25">
      <c r="A10" s="849" t="s">
        <v>309</v>
      </c>
      <c r="B10" s="846"/>
      <c r="C10" s="847">
        <f>SUM(C6:C9)</f>
        <v>1965237.5704758614</v>
      </c>
      <c r="D10" s="847">
        <f>SUM(D6:D9)</f>
        <v>2177472.6196070784</v>
      </c>
      <c r="E10" s="847">
        <f>SUM(E6:E9)</f>
        <v>2149063.6632526158</v>
      </c>
      <c r="F10" s="847">
        <f>SUM(F6:F9)</f>
        <v>2111870.0562848956</v>
      </c>
      <c r="G10" s="847">
        <f>SUM(G6:G9)</f>
        <v>2074666.1054857755</v>
      </c>
      <c r="H10" s="134"/>
      <c r="I10" s="134"/>
      <c r="J10" s="134"/>
      <c r="K10" s="134"/>
      <c r="L10" s="134"/>
      <c r="M10" s="134"/>
    </row>
    <row r="11" spans="1:13" ht="15.75" x14ac:dyDescent="0.25">
      <c r="A11" s="849"/>
      <c r="B11" s="850"/>
      <c r="C11" s="851"/>
      <c r="D11" s="851"/>
      <c r="E11" s="851"/>
      <c r="F11" s="851"/>
      <c r="G11" s="852"/>
      <c r="H11" s="134"/>
      <c r="I11" s="134"/>
      <c r="J11" s="134"/>
      <c r="K11" s="134"/>
      <c r="L11" s="134"/>
      <c r="M11" s="134"/>
    </row>
    <row r="12" spans="1:13" ht="15" x14ac:dyDescent="0.2">
      <c r="A12" s="845" t="s">
        <v>222</v>
      </c>
      <c r="B12" s="846"/>
      <c r="C12" s="847">
        <f>+C10</f>
        <v>1965237.5704758614</v>
      </c>
      <c r="D12" s="847">
        <f>+D10</f>
        <v>2177472.6196070784</v>
      </c>
      <c r="E12" s="847">
        <f>+E10</f>
        <v>2149063.6632526158</v>
      </c>
      <c r="F12" s="847">
        <f>+F10</f>
        <v>2111870.0562848956</v>
      </c>
      <c r="G12" s="847">
        <f>+G10</f>
        <v>2074666.1054857755</v>
      </c>
      <c r="H12" s="134"/>
      <c r="I12" s="134"/>
      <c r="J12" s="134"/>
      <c r="K12" s="134"/>
      <c r="L12" s="134"/>
      <c r="M12" s="134"/>
    </row>
    <row r="13" spans="1:13" ht="15" x14ac:dyDescent="0.2">
      <c r="A13" s="845" t="s">
        <v>223</v>
      </c>
      <c r="B13" s="846"/>
      <c r="C13" s="847">
        <f>+'F-CRes'!B4*InfoInicial!$B$3</f>
        <v>5446875</v>
      </c>
      <c r="D13" s="847">
        <f>+'F-CRes'!C4*InfoInicial!$B$3</f>
        <v>6300000</v>
      </c>
      <c r="E13" s="847">
        <f>+'F-CRes'!D4*InfoInicial!$B$3</f>
        <v>6300000</v>
      </c>
      <c r="F13" s="847">
        <f>+'F-CRes'!E4*InfoInicial!$B$3</f>
        <v>6300000</v>
      </c>
      <c r="G13" s="847">
        <f>+'F-CRes'!F4*InfoInicial!$B$3</f>
        <v>6300000</v>
      </c>
      <c r="H13" s="134"/>
      <c r="I13" s="134"/>
      <c r="J13" s="134"/>
      <c r="K13" s="134"/>
      <c r="L13" s="134"/>
      <c r="M13" s="134"/>
    </row>
    <row r="14" spans="1:13" ht="15.75" x14ac:dyDescent="0.25">
      <c r="A14" s="849" t="s">
        <v>845</v>
      </c>
      <c r="B14" s="846"/>
      <c r="C14" s="847">
        <f>+C13-C12</f>
        <v>3481637.4295241386</v>
      </c>
      <c r="D14" s="847">
        <f>+D13-D12</f>
        <v>4122527.3803929216</v>
      </c>
      <c r="E14" s="847">
        <f>+E13-E12</f>
        <v>4150936.3367473842</v>
      </c>
      <c r="F14" s="847">
        <f>+F13-F12</f>
        <v>4188129.9437151044</v>
      </c>
      <c r="G14" s="847">
        <f>+G13-G12</f>
        <v>4225333.8945142245</v>
      </c>
      <c r="H14" s="134"/>
      <c r="I14" s="134"/>
      <c r="J14" s="134"/>
      <c r="K14" s="134"/>
      <c r="L14" s="134"/>
      <c r="M14" s="134"/>
    </row>
    <row r="15" spans="1:13" ht="15" x14ac:dyDescent="0.2">
      <c r="A15" s="845"/>
      <c r="B15" s="850"/>
      <c r="C15" s="851"/>
      <c r="D15" s="851"/>
      <c r="E15" s="851"/>
      <c r="F15" s="851"/>
      <c r="G15" s="852"/>
      <c r="H15" s="134"/>
      <c r="I15" s="134"/>
      <c r="J15" s="134"/>
      <c r="K15" s="134"/>
      <c r="L15" s="134"/>
      <c r="M15" s="134"/>
    </row>
    <row r="16" spans="1:13" ht="15.75" x14ac:dyDescent="0.25">
      <c r="A16" s="853" t="s">
        <v>846</v>
      </c>
      <c r="B16" s="846"/>
      <c r="C16" s="847">
        <f>+B17</f>
        <v>2130662.4191075107</v>
      </c>
      <c r="D16" s="847">
        <f>+C18</f>
        <v>0</v>
      </c>
      <c r="E16" s="847">
        <f>+D18</f>
        <v>0</v>
      </c>
      <c r="F16" s="847">
        <f>+E18</f>
        <v>0</v>
      </c>
      <c r="G16" s="847">
        <f>+F18</f>
        <v>0</v>
      </c>
      <c r="H16" s="134"/>
      <c r="I16" s="134"/>
      <c r="J16" s="134"/>
      <c r="K16" s="134"/>
      <c r="L16" s="134"/>
      <c r="M16" s="134"/>
    </row>
    <row r="17" spans="1:13" ht="15.75" x14ac:dyDescent="0.25">
      <c r="A17" s="853" t="s">
        <v>310</v>
      </c>
      <c r="B17" s="846">
        <f>+'F-2 Estructura'!B8+'F-2 Estructura'!B20</f>
        <v>2130662.4191075107</v>
      </c>
      <c r="C17" s="854">
        <f>'E-IVA '!C26</f>
        <v>817661.04748417693</v>
      </c>
      <c r="D17" s="854">
        <f>'E-IVA '!D26</f>
        <v>2773.7970740892242</v>
      </c>
      <c r="E17" s="854">
        <f>'E-IVA '!E26</f>
        <v>0</v>
      </c>
      <c r="F17" s="854">
        <f>'E-IVA '!F26</f>
        <v>5.1719156999961706</v>
      </c>
      <c r="G17" s="854">
        <f>'E-IVA '!G26</f>
        <v>0</v>
      </c>
      <c r="H17" s="134"/>
      <c r="I17" s="134"/>
      <c r="J17" s="134"/>
      <c r="K17" s="134"/>
      <c r="L17" s="134"/>
      <c r="M17" s="134"/>
    </row>
    <row r="18" spans="1:13" ht="15.75" x14ac:dyDescent="0.25">
      <c r="A18" s="849" t="s">
        <v>311</v>
      </c>
      <c r="B18" s="846">
        <f>+'F-2 Estructura'!B8+'F-2 Estructura'!B20</f>
        <v>2130662.4191075107</v>
      </c>
      <c r="C18" s="854"/>
      <c r="D18" s="854">
        <v>0</v>
      </c>
      <c r="E18" s="854">
        <v>0</v>
      </c>
      <c r="F18" s="854">
        <v>0</v>
      </c>
      <c r="G18" s="855">
        <v>0</v>
      </c>
      <c r="H18" s="134"/>
      <c r="I18" s="134"/>
      <c r="J18" s="134"/>
      <c r="K18" s="134"/>
      <c r="L18" s="134"/>
      <c r="M18" s="134"/>
    </row>
    <row r="19" spans="1:13" ht="15.75" x14ac:dyDescent="0.25">
      <c r="A19" s="849" t="s">
        <v>312</v>
      </c>
      <c r="B19" s="846">
        <v>0</v>
      </c>
      <c r="C19" s="854">
        <f>C16+C17</f>
        <v>2948323.4665916879</v>
      </c>
      <c r="D19" s="854">
        <f>D16+D17</f>
        <v>2773.7970740892242</v>
      </c>
      <c r="E19" s="854">
        <f>E17+E16</f>
        <v>0</v>
      </c>
      <c r="F19" s="854">
        <f>F17+F16</f>
        <v>5.1719156999961706</v>
      </c>
      <c r="G19" s="854">
        <f>G17+G16</f>
        <v>0</v>
      </c>
      <c r="H19" s="134"/>
      <c r="I19" s="134"/>
      <c r="J19" s="134"/>
      <c r="K19" s="134"/>
      <c r="L19" s="134"/>
      <c r="M19" s="134"/>
    </row>
    <row r="20" spans="1:13" ht="15" x14ac:dyDescent="0.2">
      <c r="A20" s="845"/>
      <c r="B20" s="850"/>
      <c r="C20" s="856"/>
      <c r="D20" s="856"/>
      <c r="E20" s="856"/>
      <c r="F20" s="856"/>
      <c r="G20" s="857"/>
      <c r="H20" s="134"/>
      <c r="I20" s="134"/>
      <c r="J20" s="134"/>
      <c r="K20" s="134"/>
      <c r="L20" s="134"/>
      <c r="M20" s="134"/>
    </row>
    <row r="21" spans="1:13" ht="15.75" x14ac:dyDescent="0.25">
      <c r="A21" s="858" t="s">
        <v>228</v>
      </c>
      <c r="B21" s="859">
        <v>0</v>
      </c>
      <c r="C21" s="860">
        <f>C14-C19</f>
        <v>533313.9629324507</v>
      </c>
      <c r="D21" s="860">
        <f t="shared" ref="D21:G21" si="0">D14-D19</f>
        <v>4119753.5833188323</v>
      </c>
      <c r="E21" s="860">
        <f t="shared" si="0"/>
        <v>4150936.3367473842</v>
      </c>
      <c r="F21" s="860">
        <f t="shared" si="0"/>
        <v>4188124.7717994042</v>
      </c>
      <c r="G21" s="860">
        <f t="shared" si="0"/>
        <v>4225333.8945142245</v>
      </c>
      <c r="H21" s="134"/>
      <c r="I21" s="134"/>
      <c r="J21" s="134"/>
      <c r="K21" s="134"/>
      <c r="L21" s="134"/>
      <c r="M21" s="134"/>
    </row>
    <row r="22" spans="1:13" ht="15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</row>
    <row r="23" spans="1:13" ht="15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</row>
    <row r="24" spans="1:13" ht="15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</row>
    <row r="25" spans="1:13" ht="15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</row>
    <row r="26" spans="1:13" ht="15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3" ht="15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</row>
    <row r="28" spans="1:13" ht="15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</row>
    <row r="29" spans="1:13" ht="15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</row>
    <row r="30" spans="1:13" ht="15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</row>
    <row r="31" spans="1:13" ht="15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</row>
    <row r="32" spans="1:13" ht="15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</row>
    <row r="33" spans="1:13" ht="15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C6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7"/>
  <sheetViews>
    <sheetView zoomScale="70" zoomScaleNormal="70" workbookViewId="0">
      <selection activeCell="P21" sqref="P21"/>
    </sheetView>
  </sheetViews>
  <sheetFormatPr baseColWidth="10" defaultColWidth="11.42578125" defaultRowHeight="12.75" x14ac:dyDescent="0.2"/>
  <cols>
    <col min="1" max="1" width="41" style="17" customWidth="1"/>
    <col min="2" max="2" width="17.5703125" style="17" customWidth="1"/>
    <col min="3" max="3" width="19.7109375" style="17" customWidth="1"/>
    <col min="4" max="4" width="19.42578125" style="17" customWidth="1"/>
    <col min="5" max="5" width="19.85546875" style="17" customWidth="1"/>
    <col min="6" max="6" width="19.42578125" style="17" customWidth="1"/>
    <col min="7" max="7" width="18.5703125" style="17" customWidth="1"/>
    <col min="8" max="8" width="19.7109375" style="17" customWidth="1"/>
    <col min="9" max="9" width="21.140625" style="17" customWidth="1"/>
    <col min="10" max="16384" width="11.42578125" style="17"/>
  </cols>
  <sheetData>
    <row r="1" spans="1:14" ht="15.75" x14ac:dyDescent="0.25">
      <c r="A1" s="861" t="s">
        <v>0</v>
      </c>
      <c r="B1" s="122"/>
      <c r="C1" s="122"/>
      <c r="D1" s="122"/>
      <c r="E1" s="759">
        <f>InfoInicial!E1</f>
        <v>8</v>
      </c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5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16.5" thickBot="1" x14ac:dyDescent="0.3">
      <c r="A3" s="862" t="s">
        <v>313</v>
      </c>
      <c r="B3" s="730"/>
      <c r="C3" s="730"/>
      <c r="D3" s="730"/>
      <c r="E3" s="730"/>
      <c r="F3" s="730"/>
      <c r="G3" s="730"/>
      <c r="H3" s="730"/>
      <c r="I3" s="122"/>
      <c r="J3" s="122"/>
      <c r="K3" s="122"/>
      <c r="L3" s="122"/>
      <c r="M3" s="122"/>
      <c r="N3" s="122"/>
    </row>
    <row r="4" spans="1:14" ht="16.5" thickBot="1" x14ac:dyDescent="0.3">
      <c r="A4" s="863"/>
      <c r="B4" s="864" t="s">
        <v>47</v>
      </c>
      <c r="C4" s="864" t="s">
        <v>48</v>
      </c>
      <c r="D4" s="864" t="s">
        <v>89</v>
      </c>
      <c r="E4" s="864" t="s">
        <v>90</v>
      </c>
      <c r="F4" s="864" t="s">
        <v>91</v>
      </c>
      <c r="G4" s="865" t="s">
        <v>92</v>
      </c>
      <c r="H4" s="866" t="s">
        <v>191</v>
      </c>
      <c r="I4" s="122"/>
      <c r="J4" s="122"/>
      <c r="K4" s="122"/>
      <c r="L4" s="122"/>
      <c r="M4" s="122"/>
      <c r="N4" s="122"/>
    </row>
    <row r="5" spans="1:14" ht="16.5" thickBot="1" x14ac:dyDescent="0.3">
      <c r="A5" s="867" t="s">
        <v>314</v>
      </c>
      <c r="B5" s="868">
        <f t="shared" ref="B5:H5" si="0">+SUM(B6:B11)</f>
        <v>12276673.938667085</v>
      </c>
      <c r="C5" s="868">
        <f t="shared" si="0"/>
        <v>35987655.052126095</v>
      </c>
      <c r="D5" s="868">
        <f t="shared" si="0"/>
        <v>38147485.436183706</v>
      </c>
      <c r="E5" s="868">
        <f t="shared" si="0"/>
        <v>43940268.551570982</v>
      </c>
      <c r="F5" s="868">
        <f t="shared" si="0"/>
        <v>49648030.286080986</v>
      </c>
      <c r="G5" s="868">
        <f t="shared" si="0"/>
        <v>55442789.978398278</v>
      </c>
      <c r="H5" s="869">
        <f t="shared" si="0"/>
        <v>168267107.95978296</v>
      </c>
      <c r="I5" s="122"/>
      <c r="J5" s="122"/>
      <c r="K5" s="122"/>
      <c r="L5" s="122"/>
      <c r="M5" s="122"/>
      <c r="N5" s="122"/>
    </row>
    <row r="6" spans="1:14" ht="15" x14ac:dyDescent="0.2">
      <c r="A6" s="870" t="s">
        <v>315</v>
      </c>
      <c r="B6" s="871">
        <v>0</v>
      </c>
      <c r="C6" s="871">
        <f>+B27</f>
        <v>0</v>
      </c>
      <c r="D6" s="871">
        <f>+C27</f>
        <v>8144711.639109619</v>
      </c>
      <c r="E6" s="871">
        <f>+D27</f>
        <v>13940268.551570985</v>
      </c>
      <c r="F6" s="871">
        <f>+E27</f>
        <v>19648025.114165284</v>
      </c>
      <c r="G6" s="871">
        <f>+F27</f>
        <v>25442789.978398282</v>
      </c>
      <c r="H6" s="872">
        <v>0</v>
      </c>
      <c r="I6" s="122"/>
      <c r="J6" s="122"/>
      <c r="K6" s="122"/>
      <c r="L6" s="122"/>
      <c r="M6" s="122"/>
      <c r="N6" s="122"/>
    </row>
    <row r="7" spans="1:14" ht="15" x14ac:dyDescent="0.2">
      <c r="A7" s="870" t="s">
        <v>316</v>
      </c>
      <c r="B7" s="873">
        <f>+'F-2 Estructura'!B30</f>
        <v>8954892.6173170842</v>
      </c>
      <c r="C7" s="873">
        <f>+'F-2 Estructura'!C30</f>
        <v>3219698.4837697465</v>
      </c>
      <c r="D7" s="873">
        <v>0</v>
      </c>
      <c r="E7" s="873">
        <v>0</v>
      </c>
      <c r="F7" s="873">
        <v>0</v>
      </c>
      <c r="G7" s="873">
        <v>0</v>
      </c>
      <c r="H7" s="874">
        <f>+SUM(B7:G7)</f>
        <v>12174591.101086831</v>
      </c>
      <c r="I7" s="122"/>
      <c r="J7" s="122"/>
      <c r="K7" s="122"/>
      <c r="L7" s="122"/>
      <c r="M7" s="122"/>
      <c r="N7" s="122"/>
    </row>
    <row r="8" spans="1:14" ht="15" x14ac:dyDescent="0.2">
      <c r="A8" s="870" t="s">
        <v>317</v>
      </c>
      <c r="B8" s="854">
        <f>+'F-2 Estructura'!B28</f>
        <v>3321781.3213500003</v>
      </c>
      <c r="C8" s="854">
        <f>+'F-2 Estructura'!C28</f>
        <v>0</v>
      </c>
      <c r="D8" s="854">
        <v>0</v>
      </c>
      <c r="E8" s="854">
        <v>0</v>
      </c>
      <c r="F8" s="854">
        <v>0</v>
      </c>
      <c r="G8" s="767">
        <v>0</v>
      </c>
      <c r="H8" s="1109">
        <f>+SUM(B8:G8)</f>
        <v>3321781.3213500003</v>
      </c>
      <c r="I8" s="122"/>
      <c r="J8" s="122"/>
      <c r="K8" s="122"/>
      <c r="L8" s="122"/>
      <c r="M8" s="122"/>
      <c r="N8" s="122"/>
    </row>
    <row r="9" spans="1:14" ht="15" x14ac:dyDescent="0.2">
      <c r="A9" s="870" t="s">
        <v>847</v>
      </c>
      <c r="B9" s="873">
        <f>+'F-2 Estructura'!B29</f>
        <v>0</v>
      </c>
      <c r="C9" s="873">
        <f>+'F-2 Estructura'!C29</f>
        <v>3882133.1017646585</v>
      </c>
      <c r="D9" s="873">
        <v>0</v>
      </c>
      <c r="E9" s="873">
        <v>0</v>
      </c>
      <c r="F9" s="873">
        <v>0</v>
      </c>
      <c r="G9" s="875">
        <v>0</v>
      </c>
      <c r="H9" s="874">
        <f>+SUM(B9:G9)</f>
        <v>3882133.1017646585</v>
      </c>
      <c r="I9" s="122"/>
      <c r="J9" s="122"/>
      <c r="K9" s="122"/>
      <c r="L9" s="122"/>
      <c r="M9" s="122"/>
      <c r="N9" s="122"/>
    </row>
    <row r="10" spans="1:14" ht="15" x14ac:dyDescent="0.2">
      <c r="A10" s="870" t="s">
        <v>318</v>
      </c>
      <c r="B10" s="854">
        <v>0</v>
      </c>
      <c r="C10" s="854">
        <f>+'F-CRes'!B4</f>
        <v>25937500</v>
      </c>
      <c r="D10" s="854">
        <f>+'F-CRes'!C4</f>
        <v>30000000</v>
      </c>
      <c r="E10" s="854">
        <f>+'F-CRes'!D4</f>
        <v>30000000</v>
      </c>
      <c r="F10" s="854">
        <f>+'F-CRes'!E4</f>
        <v>30000000</v>
      </c>
      <c r="G10" s="854">
        <f>+'F-CRes'!F4</f>
        <v>30000000</v>
      </c>
      <c r="H10" s="874">
        <f>+SUM(B10:G10)</f>
        <v>145937500</v>
      </c>
      <c r="I10" s="122"/>
      <c r="J10" s="122"/>
      <c r="K10" s="122"/>
      <c r="L10" s="122"/>
      <c r="M10" s="122"/>
      <c r="N10" s="122"/>
    </row>
    <row r="11" spans="1:14" ht="15.75" thickBot="1" x14ac:dyDescent="0.25">
      <c r="A11" s="876" t="s">
        <v>319</v>
      </c>
      <c r="B11" s="877">
        <v>0</v>
      </c>
      <c r="C11" s="877">
        <f>+'F-IVA'!C19</f>
        <v>2948323.4665916879</v>
      </c>
      <c r="D11" s="877">
        <f>+'F-IVA'!D19</f>
        <v>2773.7970740892242</v>
      </c>
      <c r="E11" s="877">
        <f>+'F-IVA'!E19</f>
        <v>0</v>
      </c>
      <c r="F11" s="877">
        <f>+'F-IVA'!F19</f>
        <v>5.1719156999961706</v>
      </c>
      <c r="G11" s="877">
        <f>+'F-IVA'!G19</f>
        <v>0</v>
      </c>
      <c r="H11" s="1108">
        <f>+SUM(B11:G11)</f>
        <v>2951102.4355814774</v>
      </c>
      <c r="I11" s="122"/>
      <c r="J11" s="122"/>
      <c r="K11" s="122"/>
      <c r="L11" s="122"/>
      <c r="M11" s="122"/>
      <c r="N11" s="122"/>
    </row>
    <row r="12" spans="1:14" ht="15.75" thickBot="1" x14ac:dyDescent="0.25">
      <c r="A12" s="122"/>
      <c r="B12" s="733"/>
      <c r="C12" s="733"/>
      <c r="D12" s="733"/>
      <c r="E12" s="733"/>
      <c r="F12" s="733"/>
      <c r="G12" s="733"/>
      <c r="H12" s="733"/>
      <c r="I12" s="122"/>
      <c r="J12" s="122"/>
      <c r="K12" s="122"/>
      <c r="L12" s="122"/>
      <c r="M12" s="122"/>
      <c r="N12" s="122"/>
    </row>
    <row r="13" spans="1:14" ht="16.5" thickBot="1" x14ac:dyDescent="0.3">
      <c r="A13" s="867" t="s">
        <v>320</v>
      </c>
      <c r="B13" s="878">
        <f t="shared" ref="B13:G13" si="1">+SUM(B14:B23)</f>
        <v>12276673.938667085</v>
      </c>
      <c r="C13" s="878">
        <f t="shared" si="1"/>
        <v>28722050.893074475</v>
      </c>
      <c r="D13" s="878">
        <f t="shared" si="1"/>
        <v>25086324.36467072</v>
      </c>
      <c r="E13" s="878">
        <f t="shared" si="1"/>
        <v>25171350.917463697</v>
      </c>
      <c r="F13" s="878">
        <f t="shared" si="1"/>
        <v>25003148.68877437</v>
      </c>
      <c r="G13" s="878">
        <f t="shared" si="1"/>
        <v>24334334.137219951</v>
      </c>
      <c r="H13" s="879">
        <f>+SUM(H14:H22)</f>
        <v>140593882.9398703</v>
      </c>
      <c r="I13" s="122"/>
      <c r="J13" s="122"/>
      <c r="K13" s="122"/>
      <c r="L13" s="122"/>
      <c r="M13" s="122"/>
      <c r="N13" s="122"/>
    </row>
    <row r="14" spans="1:14" ht="15" x14ac:dyDescent="0.2">
      <c r="A14" s="870" t="s">
        <v>321</v>
      </c>
      <c r="B14" s="880">
        <f>+'F-2 Estructura'!B7</f>
        <v>8398200.6002740003</v>
      </c>
      <c r="C14" s="880">
        <f>+'F-2 Estructura'!C7</f>
        <v>149850</v>
      </c>
      <c r="D14" s="880">
        <v>0</v>
      </c>
      <c r="E14" s="880">
        <v>0</v>
      </c>
      <c r="F14" s="880">
        <v>0</v>
      </c>
      <c r="G14" s="881">
        <v>0</v>
      </c>
      <c r="H14" s="872">
        <f t="shared" ref="H14:H22" si="2">+SUM(B14:G14)</f>
        <v>8548050.6002740003</v>
      </c>
      <c r="I14" s="122"/>
      <c r="J14" s="122"/>
      <c r="K14" s="122"/>
      <c r="L14" s="122"/>
      <c r="M14" s="122"/>
      <c r="N14" s="122"/>
    </row>
    <row r="15" spans="1:14" ht="15" x14ac:dyDescent="0.2">
      <c r="A15" s="870" t="s">
        <v>250</v>
      </c>
      <c r="B15" s="854">
        <f>+'E-InvAT'!B24</f>
        <v>1747810.9192855756</v>
      </c>
      <c r="C15" s="854">
        <f>+'E-InvAT'!C24</f>
        <v>6316828.4174486576</v>
      </c>
      <c r="D15" s="854">
        <f>+'E-InvAT'!D24</f>
        <v>379260.84216048941</v>
      </c>
      <c r="E15" s="854">
        <f>+'E-InvAT'!E24</f>
        <v>-313.18094556592405</v>
      </c>
      <c r="F15" s="854">
        <f>+'E-InvAT'!F24</f>
        <v>23.20230976678431</v>
      </c>
      <c r="G15" s="854">
        <f>+'E-InvAT'!G24</f>
        <v>0</v>
      </c>
      <c r="H15" s="882">
        <f t="shared" si="2"/>
        <v>8443610.2002589237</v>
      </c>
      <c r="I15" s="122"/>
      <c r="J15" s="122"/>
      <c r="K15" s="122"/>
      <c r="L15" s="122"/>
      <c r="M15" s="122"/>
      <c r="N15" s="122"/>
    </row>
    <row r="16" spans="1:14" ht="15" x14ac:dyDescent="0.2">
      <c r="A16" s="870" t="s">
        <v>322</v>
      </c>
      <c r="B16" s="854">
        <v>0</v>
      </c>
      <c r="C16" s="854">
        <f>'F-CRes'!B5+'F-CRes'!B8+'F-CRes'!B9+'F-CRes'!B10</f>
        <v>18536417.350981817</v>
      </c>
      <c r="D16" s="854">
        <f>'F-CRes'!C5+'F-CRes'!C8+'F-CRes'!C9+'F-CRes'!C10</f>
        <v>20413408.164049841</v>
      </c>
      <c r="E16" s="854">
        <f>'F-CRes'!D5+'F-CRes'!D8+'F-CRes'!D9+'F-CRes'!D10</f>
        <v>20280715.805290122</v>
      </c>
      <c r="F16" s="854">
        <f>'F-CRes'!E5+'F-CRes'!E8+'F-CRes'!E9+'F-CRes'!E10</f>
        <v>20021368.34155957</v>
      </c>
      <c r="G16" s="854">
        <f>'F-CRes'!F5+'F-CRes'!F8+'F-CRes'!F9+'F-CRes'!F10</f>
        <v>19844205.260080047</v>
      </c>
      <c r="H16" s="882">
        <f t="shared" si="2"/>
        <v>99096114.921961397</v>
      </c>
      <c r="I16" s="122"/>
      <c r="J16" s="122"/>
      <c r="K16" s="122"/>
      <c r="L16" s="122"/>
      <c r="M16" s="122"/>
      <c r="N16" s="122"/>
    </row>
    <row r="17" spans="1:14" ht="15" x14ac:dyDescent="0.2">
      <c r="A17" s="870" t="s">
        <v>323</v>
      </c>
      <c r="B17" s="854">
        <v>0</v>
      </c>
      <c r="C17" s="854">
        <f>+'F-CRes'!B13</f>
        <v>2422963.0771545023</v>
      </c>
      <c r="D17" s="854">
        <f>+'F-CRes'!C13</f>
        <v>3149644.8818093841</v>
      </c>
      <c r="E17" s="854">
        <f>+'F-CRes'!D13</f>
        <v>3196090.338021935</v>
      </c>
      <c r="F17" s="854">
        <f>+'F-CRes'!E13</f>
        <v>3286844.6831775159</v>
      </c>
      <c r="G17" s="854">
        <f>+'F-CRes'!F13</f>
        <v>3348851.7370027173</v>
      </c>
      <c r="H17" s="882">
        <f t="shared" si="2"/>
        <v>15404394.717166053</v>
      </c>
      <c r="I17" s="122"/>
      <c r="J17" s="122"/>
      <c r="K17" s="122"/>
      <c r="L17" s="122"/>
      <c r="M17" s="122"/>
      <c r="N17" s="122"/>
    </row>
    <row r="18" spans="1:14" ht="15" x14ac:dyDescent="0.2">
      <c r="A18" s="870" t="s">
        <v>324</v>
      </c>
      <c r="B18" s="873">
        <v>0</v>
      </c>
      <c r="C18" s="873">
        <v>0</v>
      </c>
      <c r="D18" s="873">
        <f>+'F-Cred'!E26</f>
        <v>553630.22022500006</v>
      </c>
      <c r="E18" s="873">
        <f>+'F-Cred'!E28</f>
        <v>1107260.4404500001</v>
      </c>
      <c r="F18" s="873">
        <f>+'F-Cred'!E30</f>
        <v>1107260.4404500001</v>
      </c>
      <c r="G18" s="875">
        <f>+'F-Cred'!E31</f>
        <v>553630.22022500006</v>
      </c>
      <c r="H18" s="1110">
        <f t="shared" si="2"/>
        <v>3321781.3213499999</v>
      </c>
      <c r="I18" s="122"/>
      <c r="J18" s="122"/>
      <c r="K18" s="122"/>
      <c r="L18" s="122"/>
      <c r="M18" s="122"/>
      <c r="N18" s="122"/>
    </row>
    <row r="19" spans="1:14" ht="15" x14ac:dyDescent="0.2">
      <c r="A19" s="870" t="s">
        <v>325</v>
      </c>
      <c r="B19" s="854">
        <v>0</v>
      </c>
      <c r="C19" s="854">
        <f>+'F-CRes'!B12</f>
        <v>478331.00000531902</v>
      </c>
      <c r="D19" s="854">
        <f>+'F-CRes'!C12</f>
        <v>587606.45935191773</v>
      </c>
      <c r="E19" s="854">
        <f>+'F-CRes'!D12</f>
        <v>587597.51464720373</v>
      </c>
      <c r="F19" s="854">
        <f>+'F-CRes'!E12</f>
        <v>587646.84936181479</v>
      </c>
      <c r="G19" s="854">
        <f>+'F-CRes'!F12</f>
        <v>587646.91991219099</v>
      </c>
      <c r="H19" s="882">
        <f t="shared" si="2"/>
        <v>2828828.7432784466</v>
      </c>
      <c r="I19" s="122"/>
      <c r="J19" s="122"/>
      <c r="K19" s="122"/>
      <c r="L19" s="122"/>
      <c r="M19" s="122"/>
      <c r="N19" s="122"/>
    </row>
    <row r="20" spans="1:14" ht="15" x14ac:dyDescent="0.2">
      <c r="A20" s="870" t="s">
        <v>326</v>
      </c>
      <c r="B20" s="873">
        <v>0</v>
      </c>
      <c r="C20" s="873">
        <v>0</v>
      </c>
      <c r="D20" s="873">
        <v>0</v>
      </c>
      <c r="E20" s="873">
        <v>0</v>
      </c>
      <c r="F20" s="873">
        <v>0</v>
      </c>
      <c r="G20" s="873">
        <v>0</v>
      </c>
      <c r="H20" s="882">
        <f t="shared" si="2"/>
        <v>0</v>
      </c>
      <c r="I20" s="122"/>
      <c r="J20" s="122"/>
      <c r="K20" s="122"/>
      <c r="L20" s="122"/>
      <c r="M20" s="122"/>
      <c r="N20" s="122"/>
    </row>
    <row r="21" spans="1:14" ht="15" x14ac:dyDescent="0.2">
      <c r="A21" s="870" t="s">
        <v>327</v>
      </c>
      <c r="B21" s="854">
        <f>+'F-IVA'!B17</f>
        <v>2130662.4191075107</v>
      </c>
      <c r="C21" s="854">
        <f>+'F-IVA'!C17</f>
        <v>817661.04748417693</v>
      </c>
      <c r="D21" s="854">
        <f>+'F-IVA'!D17</f>
        <v>2773.7970740892242</v>
      </c>
      <c r="E21" s="854">
        <f>+'F-IVA'!E17</f>
        <v>0</v>
      </c>
      <c r="F21" s="854">
        <f>+'F-IVA'!F17</f>
        <v>5.1719156999961706</v>
      </c>
      <c r="G21" s="854">
        <f>+'F-IVA'!G17</f>
        <v>0</v>
      </c>
      <c r="H21" s="1107">
        <f t="shared" si="2"/>
        <v>2951102.4355814774</v>
      </c>
      <c r="I21" s="122"/>
      <c r="J21" s="122"/>
      <c r="K21" s="122"/>
      <c r="L21" s="122"/>
      <c r="M21" s="122"/>
      <c r="N21" s="122"/>
    </row>
    <row r="22" spans="1:14" ht="15.75" thickBot="1" x14ac:dyDescent="0.25">
      <c r="A22" s="876" t="s">
        <v>328</v>
      </c>
      <c r="B22" s="877">
        <v>0</v>
      </c>
      <c r="C22" s="877">
        <v>0</v>
      </c>
      <c r="D22" s="877">
        <v>0</v>
      </c>
      <c r="E22" s="877">
        <v>0</v>
      </c>
      <c r="F22" s="877">
        <v>0</v>
      </c>
      <c r="G22" s="877">
        <v>0</v>
      </c>
      <c r="H22" s="883">
        <f t="shared" si="2"/>
        <v>0</v>
      </c>
      <c r="I22" s="122"/>
      <c r="J22" s="122"/>
      <c r="K22" s="122"/>
      <c r="L22" s="122"/>
      <c r="M22" s="122"/>
      <c r="N22" s="122"/>
    </row>
    <row r="23" spans="1:14" ht="15.75" thickBot="1" x14ac:dyDescent="0.25">
      <c r="A23" s="884"/>
      <c r="B23" s="885"/>
      <c r="C23" s="885"/>
      <c r="D23" s="885"/>
      <c r="E23" s="885"/>
      <c r="F23" s="885"/>
      <c r="G23" s="885"/>
      <c r="H23" s="885"/>
      <c r="I23" s="122"/>
      <c r="J23" s="122"/>
      <c r="K23" s="122"/>
      <c r="L23" s="122"/>
      <c r="M23" s="122"/>
      <c r="N23" s="122"/>
    </row>
    <row r="24" spans="1:14" ht="15.75" x14ac:dyDescent="0.25">
      <c r="A24" s="886" t="s">
        <v>329</v>
      </c>
      <c r="B24" s="887">
        <f t="shared" ref="B24:H24" si="3">+B5-B13</f>
        <v>0</v>
      </c>
      <c r="C24" s="887">
        <f t="shared" si="3"/>
        <v>7265604.1590516195</v>
      </c>
      <c r="D24" s="887">
        <f t="shared" si="3"/>
        <v>13061161.071512986</v>
      </c>
      <c r="E24" s="887">
        <f t="shared" si="3"/>
        <v>18768917.634107284</v>
      </c>
      <c r="F24" s="887">
        <f t="shared" si="3"/>
        <v>24644881.597306617</v>
      </c>
      <c r="G24" s="887">
        <f t="shared" si="3"/>
        <v>31108455.841178328</v>
      </c>
      <c r="H24" s="888">
        <f t="shared" si="3"/>
        <v>27673225.01991266</v>
      </c>
      <c r="I24" s="122"/>
      <c r="J24" s="122"/>
      <c r="K24" s="122"/>
      <c r="L24" s="122"/>
      <c r="M24" s="122"/>
      <c r="N24" s="122"/>
    </row>
    <row r="25" spans="1:14" ht="16.5" thickBot="1" x14ac:dyDescent="0.3">
      <c r="A25" s="889" t="s">
        <v>330</v>
      </c>
      <c r="B25" s="890">
        <v>0</v>
      </c>
      <c r="C25" s="890">
        <f>'E-Form'!I6+'Gasto financiero'!B2</f>
        <v>879107.48005799996</v>
      </c>
      <c r="D25" s="890">
        <f>'E-Form'!I7+'Gasto financiero'!B3</f>
        <v>879107.48005799996</v>
      </c>
      <c r="E25" s="890">
        <f>'E-Form'!I8+'Gasto financiero'!B4</f>
        <v>879107.48005799996</v>
      </c>
      <c r="F25" s="890">
        <f>'E-Form'!I9</f>
        <v>797908.38109166664</v>
      </c>
      <c r="G25" s="891">
        <f>'E-Form'!I10</f>
        <v>797908.38109166664</v>
      </c>
      <c r="H25" s="883">
        <f>SUM(B25:G25)</f>
        <v>4233139.2023573332</v>
      </c>
      <c r="I25" s="122"/>
      <c r="J25" s="122"/>
      <c r="K25" s="122"/>
      <c r="L25" s="122"/>
      <c r="M25" s="122"/>
      <c r="N25" s="122"/>
    </row>
    <row r="26" spans="1:14" ht="16.5" thickBot="1" x14ac:dyDescent="0.3">
      <c r="A26" s="892"/>
      <c r="B26" s="885"/>
      <c r="C26" s="885"/>
      <c r="D26" s="885"/>
      <c r="E26" s="885"/>
      <c r="F26" s="885"/>
      <c r="G26" s="885"/>
      <c r="H26" s="885"/>
      <c r="I26" s="122"/>
      <c r="J26" s="122"/>
      <c r="K26" s="122"/>
      <c r="L26" s="122"/>
      <c r="M26" s="122"/>
      <c r="N26" s="122"/>
    </row>
    <row r="27" spans="1:14" ht="15.75" x14ac:dyDescent="0.25">
      <c r="A27" s="886" t="s">
        <v>331</v>
      </c>
      <c r="B27" s="893">
        <f t="shared" ref="B27:H27" si="4">+B24+B25</f>
        <v>0</v>
      </c>
      <c r="C27" s="893">
        <f t="shared" si="4"/>
        <v>8144711.639109619</v>
      </c>
      <c r="D27" s="893">
        <f t="shared" si="4"/>
        <v>13940268.551570985</v>
      </c>
      <c r="E27" s="893">
        <f t="shared" si="4"/>
        <v>19648025.114165284</v>
      </c>
      <c r="F27" s="893">
        <f t="shared" si="4"/>
        <v>25442789.978398282</v>
      </c>
      <c r="G27" s="893">
        <f t="shared" si="4"/>
        <v>31906364.222269993</v>
      </c>
      <c r="H27" s="894">
        <f t="shared" si="4"/>
        <v>31906364.222269993</v>
      </c>
      <c r="I27" s="122"/>
      <c r="J27" s="122"/>
      <c r="K27" s="122"/>
      <c r="L27" s="122"/>
      <c r="M27" s="122"/>
      <c r="N27" s="122"/>
    </row>
    <row r="28" spans="1:14" ht="16.5" thickBot="1" x14ac:dyDescent="0.3">
      <c r="A28" s="895" t="s">
        <v>332</v>
      </c>
      <c r="B28" s="896">
        <v>0</v>
      </c>
      <c r="C28" s="896">
        <f t="shared" ref="C28:H28" si="5">+C27-C6</f>
        <v>8144711.639109619</v>
      </c>
      <c r="D28" s="896">
        <f t="shared" si="5"/>
        <v>5795556.9124613665</v>
      </c>
      <c r="E28" s="896">
        <f t="shared" si="5"/>
        <v>5707756.5625942983</v>
      </c>
      <c r="F28" s="896">
        <f t="shared" si="5"/>
        <v>5794764.8642329983</v>
      </c>
      <c r="G28" s="896">
        <f t="shared" si="5"/>
        <v>6463574.2438717112</v>
      </c>
      <c r="H28" s="897">
        <f t="shared" si="5"/>
        <v>31906364.222269993</v>
      </c>
      <c r="I28" s="122"/>
      <c r="J28" s="122"/>
      <c r="K28" s="122"/>
      <c r="L28" s="122"/>
      <c r="M28" s="122"/>
      <c r="N28" s="122"/>
    </row>
    <row r="29" spans="1:14" ht="15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</row>
    <row r="30" spans="1:14" ht="15" x14ac:dyDescent="0.2">
      <c r="A30" s="122"/>
      <c r="B30" s="122"/>
      <c r="C30" s="122"/>
      <c r="D30" s="122"/>
      <c r="E30" s="122"/>
      <c r="F30" s="122"/>
      <c r="G30" s="1081"/>
      <c r="H30" s="1081"/>
      <c r="I30" s="1081"/>
      <c r="J30" s="1081"/>
      <c r="K30" s="122"/>
      <c r="L30" s="122"/>
      <c r="M30" s="122"/>
      <c r="N30" s="122"/>
    </row>
    <row r="31" spans="1:14" ht="15.75" x14ac:dyDescent="0.25">
      <c r="A31" s="122"/>
      <c r="B31" s="122"/>
      <c r="C31" s="122"/>
      <c r="D31" s="122"/>
      <c r="E31" s="122"/>
      <c r="F31" s="122"/>
      <c r="G31" s="1081"/>
      <c r="H31" s="1118">
        <f>H27+H14+H15-H25-H9-H7</f>
        <v>28608161.617594093</v>
      </c>
      <c r="I31" s="1095"/>
      <c r="J31" s="1081"/>
      <c r="K31" s="122"/>
      <c r="L31" s="122"/>
      <c r="M31" s="122"/>
      <c r="N31" s="122"/>
    </row>
    <row r="32" spans="1:14" ht="15" x14ac:dyDescent="0.2">
      <c r="A32" s="122"/>
      <c r="B32" s="122"/>
      <c r="C32" s="122"/>
      <c r="D32" s="122"/>
      <c r="E32" s="122"/>
      <c r="F32" s="122"/>
      <c r="G32" s="1081"/>
      <c r="H32" s="1081"/>
      <c r="I32" s="1081"/>
      <c r="J32" s="1081"/>
      <c r="K32" s="122"/>
      <c r="L32" s="122"/>
      <c r="M32" s="122"/>
      <c r="N32" s="122"/>
    </row>
    <row r="33" spans="1:14" ht="15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</row>
    <row r="34" spans="1:14" ht="15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</row>
    <row r="35" spans="1:14" ht="15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</row>
    <row r="36" spans="1:14" ht="15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</row>
    <row r="37" spans="1:14" ht="15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V56"/>
  <sheetViews>
    <sheetView zoomScaleNormal="100" workbookViewId="0">
      <selection activeCell="A14" sqref="A14"/>
    </sheetView>
  </sheetViews>
  <sheetFormatPr baseColWidth="10" defaultColWidth="11.42578125" defaultRowHeight="12.75" x14ac:dyDescent="0.2"/>
  <cols>
    <col min="1" max="1" width="45.42578125" style="7" customWidth="1"/>
    <col min="2" max="7" width="14.85546875" style="7" customWidth="1"/>
    <col min="8" max="8" width="11.42578125" style="7"/>
    <col min="9" max="9" width="22.42578125" style="7" customWidth="1"/>
    <col min="10" max="10" width="13.85546875" style="7" bestFit="1" customWidth="1"/>
    <col min="11" max="11" width="11.42578125" style="7"/>
    <col min="12" max="12" width="13.85546875" style="7" bestFit="1" customWidth="1"/>
    <col min="13" max="16384" width="11.42578125" style="7"/>
  </cols>
  <sheetData>
    <row r="1" spans="1:22" x14ac:dyDescent="0.2">
      <c r="A1" s="1131" t="s">
        <v>43</v>
      </c>
      <c r="B1" s="1131"/>
      <c r="C1" s="1131"/>
      <c r="D1" s="1132"/>
      <c r="E1" s="212">
        <f>InfoInicial!E1</f>
        <v>8</v>
      </c>
    </row>
    <row r="2" spans="1:22" ht="13.5" thickBot="1" x14ac:dyDescent="0.25"/>
    <row r="3" spans="1:22" ht="15.75" customHeight="1" x14ac:dyDescent="0.2">
      <c r="A3" s="1142" t="s">
        <v>44</v>
      </c>
      <c r="B3" s="1136" t="s">
        <v>45</v>
      </c>
      <c r="C3" s="1137"/>
      <c r="D3" s="1138" t="s">
        <v>46</v>
      </c>
      <c r="E3" s="1139"/>
      <c r="H3"/>
      <c r="M3"/>
      <c r="N3"/>
    </row>
    <row r="4" spans="1:22" ht="13.5" thickBot="1" x14ac:dyDescent="0.25">
      <c r="A4" s="1143"/>
      <c r="B4" s="228" t="s">
        <v>47</v>
      </c>
      <c r="C4" s="229" t="s">
        <v>48</v>
      </c>
      <c r="D4" s="229" t="s">
        <v>47</v>
      </c>
      <c r="E4" s="230" t="s">
        <v>48</v>
      </c>
      <c r="H4"/>
      <c r="I4" s="13"/>
      <c r="J4" s="21"/>
      <c r="K4" s="13"/>
      <c r="L4" s="21"/>
      <c r="M4"/>
      <c r="N4"/>
    </row>
    <row r="5" spans="1:22" ht="13.5" thickBot="1" x14ac:dyDescent="0.25">
      <c r="A5" s="223"/>
      <c r="B5" s="241"/>
      <c r="C5" s="242"/>
      <c r="D5" s="242"/>
      <c r="E5" s="243"/>
      <c r="H5"/>
      <c r="I5" s="13"/>
      <c r="J5" s="22"/>
      <c r="K5" s="13"/>
      <c r="L5" s="22"/>
      <c r="M5"/>
      <c r="N5" s="220" t="s">
        <v>751</v>
      </c>
    </row>
    <row r="6" spans="1:22" ht="13.5" thickBot="1" x14ac:dyDescent="0.25">
      <c r="A6" s="224" t="s">
        <v>49</v>
      </c>
      <c r="B6" s="244"/>
      <c r="C6" s="245"/>
      <c r="D6" s="245"/>
      <c r="E6" s="246"/>
      <c r="H6"/>
      <c r="I6" s="216" t="s">
        <v>373</v>
      </c>
      <c r="J6" s="215" t="s">
        <v>383</v>
      </c>
      <c r="K6" s="213" t="s">
        <v>375</v>
      </c>
      <c r="L6" s="214" t="s">
        <v>385</v>
      </c>
      <c r="M6"/>
      <c r="N6"/>
    </row>
    <row r="7" spans="1:22" x14ac:dyDescent="0.2">
      <c r="A7" s="225" t="s">
        <v>50</v>
      </c>
      <c r="B7" s="247">
        <v>1400000</v>
      </c>
      <c r="C7" s="248"/>
      <c r="D7" s="249"/>
      <c r="E7" s="250"/>
      <c r="H7"/>
      <c r="I7" s="217" t="s">
        <v>381</v>
      </c>
      <c r="J7" s="286">
        <v>8000</v>
      </c>
      <c r="K7" s="287">
        <v>1</v>
      </c>
      <c r="L7" s="290">
        <f>J7*K7*InfoInicial!$D$32</f>
        <v>138000</v>
      </c>
      <c r="M7" s="221" t="s">
        <v>755</v>
      </c>
      <c r="N7" t="s">
        <v>382</v>
      </c>
    </row>
    <row r="8" spans="1:22" x14ac:dyDescent="0.2">
      <c r="A8" s="225" t="s">
        <v>51</v>
      </c>
      <c r="B8" s="247">
        <v>2000000</v>
      </c>
      <c r="C8" s="248"/>
      <c r="D8" s="249"/>
      <c r="E8" s="250"/>
      <c r="H8"/>
      <c r="I8" s="218" t="s">
        <v>380</v>
      </c>
      <c r="J8" s="288">
        <v>10000</v>
      </c>
      <c r="K8" s="289">
        <v>1</v>
      </c>
      <c r="L8" s="290">
        <f>J8*K8*InfoInicial!$D$32</f>
        <v>172500</v>
      </c>
      <c r="M8" s="221" t="s">
        <v>755</v>
      </c>
      <c r="N8" t="s">
        <v>384</v>
      </c>
    </row>
    <row r="9" spans="1:22" x14ac:dyDescent="0.2">
      <c r="A9" s="225" t="s">
        <v>52</v>
      </c>
      <c r="B9" s="247">
        <f>B8*0.8</f>
        <v>1600000</v>
      </c>
      <c r="C9" s="248"/>
      <c r="D9" s="249"/>
      <c r="E9" s="250"/>
      <c r="H9"/>
      <c r="I9" s="218" t="s">
        <v>379</v>
      </c>
      <c r="J9" s="288">
        <v>6693</v>
      </c>
      <c r="K9" s="289">
        <v>1</v>
      </c>
      <c r="L9" s="290">
        <f>J9*K9*InfoInicial!$D$32</f>
        <v>115454.25</v>
      </c>
      <c r="M9" s="221" t="s">
        <v>755</v>
      </c>
      <c r="N9" t="s">
        <v>386</v>
      </c>
    </row>
    <row r="10" spans="1:22" x14ac:dyDescent="0.2">
      <c r="A10" s="225" t="s">
        <v>53</v>
      </c>
      <c r="B10" s="247"/>
      <c r="C10" s="248"/>
      <c r="D10" s="249"/>
      <c r="E10" s="250"/>
      <c r="H10"/>
      <c r="I10" s="218" t="s">
        <v>378</v>
      </c>
      <c r="J10" s="288">
        <v>5000</v>
      </c>
      <c r="K10" s="289">
        <v>1</v>
      </c>
      <c r="L10" s="290">
        <f>J10*K10*InfoInicial!$D$32</f>
        <v>86250</v>
      </c>
      <c r="M10" s="222" t="s">
        <v>755</v>
      </c>
      <c r="N10" t="s">
        <v>387</v>
      </c>
      <c r="V10" s="7" t="s">
        <v>753</v>
      </c>
    </row>
    <row r="11" spans="1:22" x14ac:dyDescent="0.2">
      <c r="A11" s="225" t="s">
        <v>54</v>
      </c>
      <c r="B11" s="247">
        <f>L12+L12*0.05</f>
        <v>646489.46250000002</v>
      </c>
      <c r="C11" s="248"/>
      <c r="D11" s="249"/>
      <c r="E11" s="250"/>
      <c r="F11" s="1140" t="s">
        <v>752</v>
      </c>
      <c r="G11" s="1141"/>
      <c r="H11"/>
      <c r="I11" s="218" t="s">
        <v>377</v>
      </c>
      <c r="J11" s="288">
        <v>6000</v>
      </c>
      <c r="K11" s="289">
        <v>1</v>
      </c>
      <c r="L11" s="290">
        <f>J11*K11*InfoInicial!$D$32</f>
        <v>103500</v>
      </c>
      <c r="M11" s="222" t="s">
        <v>755</v>
      </c>
      <c r="N11" t="s">
        <v>388</v>
      </c>
      <c r="V11" s="7" t="s">
        <v>754</v>
      </c>
    </row>
    <row r="12" spans="1:22" ht="13.5" thickBot="1" x14ac:dyDescent="0.25">
      <c r="A12" s="225" t="s">
        <v>55</v>
      </c>
      <c r="B12" s="247"/>
      <c r="C12" s="248"/>
      <c r="D12" s="249"/>
      <c r="E12" s="250"/>
      <c r="H12"/>
      <c r="I12" s="219" t="s">
        <v>376</v>
      </c>
      <c r="J12" s="284"/>
      <c r="K12" s="285"/>
      <c r="L12" s="291">
        <f>SUM(L4:L11)</f>
        <v>615704.25</v>
      </c>
      <c r="M12"/>
      <c r="N12"/>
    </row>
    <row r="13" spans="1:22" x14ac:dyDescent="0.2">
      <c r="A13" s="226" t="s">
        <v>56</v>
      </c>
      <c r="B13" s="247"/>
      <c r="C13" s="248"/>
      <c r="D13" s="249"/>
      <c r="E13" s="250"/>
      <c r="H13"/>
      <c r="I13"/>
      <c r="J13"/>
      <c r="K13"/>
      <c r="L13"/>
      <c r="M13"/>
      <c r="N13"/>
    </row>
    <row r="14" spans="1:22" x14ac:dyDescent="0.2">
      <c r="A14" s="225" t="s">
        <v>57</v>
      </c>
      <c r="B14" s="247">
        <v>250000</v>
      </c>
      <c r="C14" s="248"/>
      <c r="D14" s="249"/>
      <c r="E14" s="250"/>
      <c r="H14"/>
      <c r="I14"/>
      <c r="J14"/>
      <c r="K14"/>
      <c r="L14"/>
      <c r="M14"/>
      <c r="N14"/>
    </row>
    <row r="15" spans="1:22" x14ac:dyDescent="0.2">
      <c r="A15" s="225" t="s">
        <v>58</v>
      </c>
      <c r="B15" s="247">
        <v>200000</v>
      </c>
      <c r="C15" s="248"/>
      <c r="D15" s="249"/>
      <c r="E15" s="250"/>
      <c r="H15"/>
      <c r="I15"/>
      <c r="J15"/>
      <c r="K15"/>
      <c r="L15"/>
      <c r="M15"/>
      <c r="N15"/>
    </row>
    <row r="16" spans="1:22" x14ac:dyDescent="0.2">
      <c r="A16" s="225" t="s">
        <v>59</v>
      </c>
      <c r="B16" s="247">
        <v>200000</v>
      </c>
      <c r="C16" s="248"/>
      <c r="D16" s="249"/>
      <c r="E16" s="250"/>
      <c r="H16"/>
      <c r="I16"/>
      <c r="J16"/>
      <c r="K16"/>
      <c r="L16"/>
      <c r="M16"/>
      <c r="N16"/>
    </row>
    <row r="17" spans="1:14" x14ac:dyDescent="0.2">
      <c r="A17" s="225" t="s">
        <v>60</v>
      </c>
      <c r="B17" s="247"/>
      <c r="C17" s="248"/>
      <c r="D17" s="249"/>
      <c r="E17" s="250"/>
      <c r="H17"/>
      <c r="I17"/>
      <c r="J17"/>
      <c r="K17"/>
      <c r="L17"/>
      <c r="M17"/>
      <c r="N17"/>
    </row>
    <row r="18" spans="1:14" x14ac:dyDescent="0.2">
      <c r="A18" s="225" t="s">
        <v>15</v>
      </c>
      <c r="B18" s="247">
        <f>SUM(B7:C17)*InfoInicial!B15</f>
        <v>692613.84087499999</v>
      </c>
      <c r="C18" s="248"/>
      <c r="D18" s="249"/>
      <c r="E18" s="250"/>
      <c r="H18"/>
      <c r="I18"/>
      <c r="J18"/>
      <c r="K18"/>
      <c r="L18"/>
      <c r="M18"/>
      <c r="N18"/>
    </row>
    <row r="19" spans="1:14" x14ac:dyDescent="0.2">
      <c r="A19" s="225"/>
      <c r="B19" s="247"/>
      <c r="C19" s="248"/>
      <c r="D19" s="249"/>
      <c r="E19" s="250"/>
      <c r="H19"/>
      <c r="I19" s="19"/>
      <c r="J19"/>
      <c r="K19"/>
      <c r="L19"/>
      <c r="M19"/>
      <c r="N19"/>
    </row>
    <row r="20" spans="1:14" x14ac:dyDescent="0.2">
      <c r="A20" s="224" t="s">
        <v>61</v>
      </c>
      <c r="B20" s="251">
        <f>SUM(B7:B18)</f>
        <v>6989103.3033750001</v>
      </c>
      <c r="C20" s="252">
        <f>SUM(C7:C18)</f>
        <v>0</v>
      </c>
      <c r="D20" s="249"/>
      <c r="E20" s="250"/>
    </row>
    <row r="21" spans="1:14" x14ac:dyDescent="0.2">
      <c r="A21" s="225"/>
      <c r="B21" s="253"/>
      <c r="C21" s="254"/>
      <c r="D21" s="255"/>
      <c r="E21" s="256"/>
    </row>
    <row r="22" spans="1:14" x14ac:dyDescent="0.2">
      <c r="A22" s="224" t="s">
        <v>62</v>
      </c>
      <c r="B22" s="253"/>
      <c r="C22" s="254"/>
      <c r="D22" s="255"/>
      <c r="E22" s="256"/>
    </row>
    <row r="23" spans="1:14" x14ac:dyDescent="0.2">
      <c r="A23" s="225" t="s">
        <v>63</v>
      </c>
      <c r="B23" s="247">
        <v>50000</v>
      </c>
      <c r="C23" s="248"/>
      <c r="D23" s="249"/>
      <c r="E23" s="250"/>
    </row>
    <row r="24" spans="1:14" x14ac:dyDescent="0.2">
      <c r="A24" s="225" t="s">
        <v>64</v>
      </c>
      <c r="B24" s="247">
        <v>100000</v>
      </c>
      <c r="C24" s="248"/>
      <c r="D24" s="249"/>
      <c r="E24" s="250"/>
    </row>
    <row r="25" spans="1:14" x14ac:dyDescent="0.2">
      <c r="A25" s="225" t="s">
        <v>65</v>
      </c>
      <c r="B25" s="247">
        <v>900000</v>
      </c>
      <c r="C25" s="248"/>
      <c r="D25" s="249"/>
      <c r="E25" s="250"/>
    </row>
    <row r="26" spans="1:14" x14ac:dyDescent="0.2">
      <c r="A26" s="226" t="s">
        <v>66</v>
      </c>
      <c r="B26" s="247"/>
      <c r="C26" s="248">
        <f>B25*0.15</f>
        <v>135000</v>
      </c>
      <c r="D26" s="249"/>
      <c r="E26" s="250"/>
    </row>
    <row r="27" spans="1:14" x14ac:dyDescent="0.2">
      <c r="A27" s="226" t="s">
        <v>67</v>
      </c>
      <c r="B27" s="247"/>
      <c r="C27" s="248"/>
      <c r="D27" s="249"/>
      <c r="E27" s="250"/>
    </row>
    <row r="28" spans="1:14" x14ac:dyDescent="0.2">
      <c r="A28" s="226" t="s">
        <v>68</v>
      </c>
      <c r="B28" s="247"/>
      <c r="C28" s="248"/>
      <c r="D28" s="249"/>
      <c r="E28" s="250"/>
    </row>
    <row r="29" spans="1:14" x14ac:dyDescent="0.2">
      <c r="A29" s="225" t="s">
        <v>15</v>
      </c>
      <c r="B29" s="247">
        <f>SUM(B23:B28)*InfoInicial!B15</f>
        <v>115500</v>
      </c>
      <c r="C29" s="248">
        <f>SUM(C23:C28)*InfoInicial!B15</f>
        <v>14850</v>
      </c>
      <c r="D29" s="249"/>
      <c r="E29" s="250"/>
    </row>
    <row r="30" spans="1:14" x14ac:dyDescent="0.2">
      <c r="A30" s="225"/>
      <c r="B30" s="247"/>
      <c r="C30" s="248"/>
      <c r="D30" s="249"/>
      <c r="E30" s="250"/>
    </row>
    <row r="31" spans="1:14" x14ac:dyDescent="0.2">
      <c r="A31" s="224" t="s">
        <v>69</v>
      </c>
      <c r="B31" s="251">
        <f>SUM(B23:B29)</f>
        <v>1165500</v>
      </c>
      <c r="C31" s="257">
        <f>SUM(C23:C29)</f>
        <v>149850</v>
      </c>
      <c r="D31" s="249"/>
      <c r="E31" s="250"/>
    </row>
    <row r="32" spans="1:14" x14ac:dyDescent="0.2">
      <c r="A32" s="225"/>
      <c r="B32" s="253"/>
      <c r="C32" s="254"/>
      <c r="D32" s="255"/>
      <c r="E32" s="256"/>
    </row>
    <row r="33" spans="1:7" x14ac:dyDescent="0.2">
      <c r="A33" s="224" t="s">
        <v>70</v>
      </c>
      <c r="B33" s="251">
        <f>SUM(B20+B31)</f>
        <v>8154603.3033750001</v>
      </c>
      <c r="C33" s="257">
        <f>SUM(C20+C31)</f>
        <v>149850</v>
      </c>
      <c r="D33" s="249"/>
      <c r="E33" s="250"/>
    </row>
    <row r="34" spans="1:7" x14ac:dyDescent="0.2">
      <c r="A34" s="224" t="s">
        <v>71</v>
      </c>
      <c r="B34" s="247">
        <f>B33*InfoInicial!B3</f>
        <v>1712466.69370875</v>
      </c>
      <c r="C34" s="248">
        <f>C33*InfoInicial!B3</f>
        <v>31468.5</v>
      </c>
      <c r="D34" s="249"/>
      <c r="E34" s="250"/>
    </row>
    <row r="35" spans="1:7" x14ac:dyDescent="0.2">
      <c r="A35" s="225"/>
      <c r="B35" s="253"/>
      <c r="C35" s="254"/>
      <c r="D35" s="255"/>
      <c r="E35" s="256"/>
    </row>
    <row r="36" spans="1:7" ht="13.5" thickBot="1" x14ac:dyDescent="0.25">
      <c r="A36" s="227" t="s">
        <v>72</v>
      </c>
      <c r="B36" s="258">
        <f>B33+B34</f>
        <v>9867069.9970837496</v>
      </c>
      <c r="C36" s="259">
        <f>C33+C34</f>
        <v>181318.5</v>
      </c>
      <c r="D36" s="260"/>
      <c r="E36" s="261"/>
    </row>
    <row r="38" spans="1:7" ht="13.5" thickBot="1" x14ac:dyDescent="0.25"/>
    <row r="39" spans="1:7" x14ac:dyDescent="0.2">
      <c r="A39" s="1144" t="s">
        <v>73</v>
      </c>
      <c r="B39" s="231" t="s">
        <v>74</v>
      </c>
      <c r="C39" s="232" t="s">
        <v>75</v>
      </c>
      <c r="D39" s="1137" t="s">
        <v>76</v>
      </c>
      <c r="E39" s="1137"/>
      <c r="F39" s="1137"/>
      <c r="G39" s="233" t="s">
        <v>77</v>
      </c>
    </row>
    <row r="40" spans="1:7" ht="13.5" thickBot="1" x14ac:dyDescent="0.25">
      <c r="A40" s="1145"/>
      <c r="B40" s="228" t="s">
        <v>78</v>
      </c>
      <c r="C40" s="229"/>
      <c r="D40" s="229" t="s">
        <v>79</v>
      </c>
      <c r="E40" s="229" t="s">
        <v>80</v>
      </c>
      <c r="F40" s="229"/>
      <c r="G40" s="234"/>
    </row>
    <row r="41" spans="1:7" x14ac:dyDescent="0.2">
      <c r="A41" s="235" t="s">
        <v>81</v>
      </c>
      <c r="B41" s="262"/>
      <c r="C41" s="263"/>
      <c r="D41" s="264"/>
      <c r="E41" s="264"/>
      <c r="F41" s="265"/>
      <c r="G41" s="266"/>
    </row>
    <row r="42" spans="1:7" x14ac:dyDescent="0.2">
      <c r="A42" s="235"/>
      <c r="B42" s="267"/>
      <c r="C42" s="268"/>
      <c r="D42" s="269"/>
      <c r="E42" s="269"/>
      <c r="F42" s="270"/>
      <c r="G42" s="271"/>
    </row>
    <row r="43" spans="1:7" x14ac:dyDescent="0.2">
      <c r="A43" s="236" t="s">
        <v>50</v>
      </c>
      <c r="B43" s="272">
        <f>B7</f>
        <v>1400000</v>
      </c>
      <c r="C43" s="273"/>
      <c r="D43" s="273"/>
      <c r="E43" s="273"/>
      <c r="F43" s="274"/>
      <c r="G43" s="275">
        <f>B43</f>
        <v>1400000</v>
      </c>
    </row>
    <row r="44" spans="1:7" x14ac:dyDescent="0.2">
      <c r="A44" s="236" t="s">
        <v>51</v>
      </c>
      <c r="B44" s="272">
        <f>B8</f>
        <v>2000000</v>
      </c>
      <c r="C44" s="1116">
        <f>1/InfoInicial!B8</f>
        <v>3.3333333333333333E-2</v>
      </c>
      <c r="D44" s="273">
        <f>B44*C44</f>
        <v>66666.666666666672</v>
      </c>
      <c r="E44" s="273">
        <f t="shared" ref="E44:E49" si="0">B44*C44</f>
        <v>66666.666666666672</v>
      </c>
      <c r="F44" s="274"/>
      <c r="G44" s="275">
        <f t="shared" ref="G44:G49" si="1">B44-(D44*5)</f>
        <v>1666666.6666666665</v>
      </c>
    </row>
    <row r="45" spans="1:7" x14ac:dyDescent="0.2">
      <c r="A45" s="236" t="s">
        <v>52</v>
      </c>
      <c r="B45" s="272">
        <f>B9</f>
        <v>1600000</v>
      </c>
      <c r="C45" s="1116">
        <f>1/InfoInicial!B9</f>
        <v>0.1</v>
      </c>
      <c r="D45" s="273">
        <f t="shared" ref="D45:D50" si="2">B45*C45</f>
        <v>160000</v>
      </c>
      <c r="E45" s="273">
        <f t="shared" si="0"/>
        <v>160000</v>
      </c>
      <c r="F45" s="274"/>
      <c r="G45" s="275">
        <f t="shared" si="1"/>
        <v>800000</v>
      </c>
    </row>
    <row r="46" spans="1:7" x14ac:dyDescent="0.2">
      <c r="A46" s="237" t="s">
        <v>53</v>
      </c>
      <c r="B46" s="272">
        <f>B11+B14</f>
        <v>896489.46250000002</v>
      </c>
      <c r="C46" s="1116">
        <f>1/InfoInicial!B10</f>
        <v>0.1</v>
      </c>
      <c r="D46" s="273">
        <f t="shared" si="2"/>
        <v>89648.946250000008</v>
      </c>
      <c r="E46" s="273">
        <f t="shared" si="0"/>
        <v>89648.946250000008</v>
      </c>
      <c r="F46" s="274"/>
      <c r="G46" s="275">
        <f t="shared" si="1"/>
        <v>448244.73124999995</v>
      </c>
    </row>
    <row r="47" spans="1:7" x14ac:dyDescent="0.2">
      <c r="A47" s="237" t="s">
        <v>58</v>
      </c>
      <c r="B47" s="272">
        <f>B15</f>
        <v>200000</v>
      </c>
      <c r="C47" s="1116">
        <f>1/InfoInicial!B11</f>
        <v>0.2</v>
      </c>
      <c r="D47" s="273">
        <f>B47*C47</f>
        <v>40000</v>
      </c>
      <c r="E47" s="273">
        <f t="shared" si="0"/>
        <v>40000</v>
      </c>
      <c r="F47" s="274"/>
      <c r="G47" s="275">
        <f t="shared" si="1"/>
        <v>0</v>
      </c>
    </row>
    <row r="48" spans="1:7" x14ac:dyDescent="0.2">
      <c r="A48" s="237" t="s">
        <v>59</v>
      </c>
      <c r="B48" s="272">
        <f>B16</f>
        <v>200000</v>
      </c>
      <c r="C48" s="1116">
        <f>1/InfoInicial!B12</f>
        <v>0.2</v>
      </c>
      <c r="D48" s="273">
        <f t="shared" si="2"/>
        <v>40000</v>
      </c>
      <c r="E48" s="273">
        <f t="shared" si="0"/>
        <v>40000</v>
      </c>
      <c r="F48" s="274"/>
      <c r="G48" s="275">
        <f t="shared" si="1"/>
        <v>0</v>
      </c>
    </row>
    <row r="49" spans="1:9" x14ac:dyDescent="0.2">
      <c r="A49" s="237" t="s">
        <v>15</v>
      </c>
      <c r="B49" s="272">
        <f>B18</f>
        <v>692613.84087499999</v>
      </c>
      <c r="C49" s="1116">
        <f>1/InfoInicial!B14</f>
        <v>0.2</v>
      </c>
      <c r="D49" s="273">
        <f>B49*C49</f>
        <v>138522.768175</v>
      </c>
      <c r="E49" s="273">
        <f t="shared" si="0"/>
        <v>138522.768175</v>
      </c>
      <c r="F49" s="274"/>
      <c r="G49" s="275">
        <f t="shared" si="1"/>
        <v>0</v>
      </c>
    </row>
    <row r="50" spans="1:9" x14ac:dyDescent="0.2">
      <c r="A50" s="237" t="s">
        <v>82</v>
      </c>
      <c r="B50" s="272">
        <v>20000</v>
      </c>
      <c r="C50" s="1116">
        <f>1/InfoInicial!B13</f>
        <v>0.33333333333333331</v>
      </c>
      <c r="D50" s="273">
        <f t="shared" si="2"/>
        <v>6666.6666666666661</v>
      </c>
      <c r="E50" s="273"/>
      <c r="F50" s="274"/>
      <c r="G50" s="275">
        <f>B50-(D50*3)</f>
        <v>0</v>
      </c>
    </row>
    <row r="51" spans="1:9" x14ac:dyDescent="0.2">
      <c r="A51" s="238" t="s">
        <v>83</v>
      </c>
      <c r="B51" s="272">
        <f>SUM(B43:B50)</f>
        <v>7009103.3033750001</v>
      </c>
      <c r="C51" s="1116"/>
      <c r="D51" s="273">
        <f>SUM(D44:D49)</f>
        <v>534838.38109166664</v>
      </c>
      <c r="E51" s="273">
        <f>SUM(E44:E49)</f>
        <v>534838.38109166664</v>
      </c>
      <c r="F51" s="274"/>
      <c r="G51" s="275">
        <f>SUM(G43:G50)</f>
        <v>4314911.3979166662</v>
      </c>
    </row>
    <row r="52" spans="1:9" x14ac:dyDescent="0.2">
      <c r="A52" s="239"/>
      <c r="B52" s="276"/>
      <c r="C52" s="1117"/>
      <c r="D52" s="277"/>
      <c r="E52" s="277"/>
      <c r="F52" s="278"/>
      <c r="G52" s="279"/>
    </row>
    <row r="53" spans="1:9" x14ac:dyDescent="0.2">
      <c r="A53" s="238" t="s">
        <v>84</v>
      </c>
      <c r="B53" s="272">
        <f>B31+C31</f>
        <v>1315350</v>
      </c>
      <c r="C53" s="1116">
        <f>1/InfoInicial!B14</f>
        <v>0.2</v>
      </c>
      <c r="D53" s="273">
        <f>B53*C53</f>
        <v>263070</v>
      </c>
      <c r="E53" s="273">
        <f>B53*C53</f>
        <v>263070</v>
      </c>
      <c r="F53" s="274"/>
      <c r="G53" s="275">
        <f>B53-(D53*5)</f>
        <v>0</v>
      </c>
    </row>
    <row r="54" spans="1:9" x14ac:dyDescent="0.2">
      <c r="A54" s="238"/>
      <c r="B54" s="272"/>
      <c r="C54" s="273"/>
      <c r="D54" s="273"/>
      <c r="E54" s="273"/>
      <c r="F54" s="274"/>
      <c r="G54" s="275"/>
    </row>
    <row r="55" spans="1:9" x14ac:dyDescent="0.2">
      <c r="A55" s="239"/>
      <c r="B55" s="276"/>
      <c r="C55" s="277"/>
      <c r="D55" s="277"/>
      <c r="E55" s="277"/>
      <c r="F55" s="278"/>
      <c r="G55" s="279"/>
      <c r="H55" s="8"/>
      <c r="I55" s="8"/>
    </row>
    <row r="56" spans="1:9" ht="13.5" thickBot="1" x14ac:dyDescent="0.25">
      <c r="A56" s="240" t="s">
        <v>85</v>
      </c>
      <c r="B56" s="280">
        <f>B51+B53</f>
        <v>8324453.3033750001</v>
      </c>
      <c r="C56" s="281"/>
      <c r="D56" s="281">
        <f>D51+D53</f>
        <v>797908.38109166664</v>
      </c>
      <c r="E56" s="281">
        <f>E51+E53</f>
        <v>797908.38109166664</v>
      </c>
      <c r="F56" s="282"/>
      <c r="G56" s="283">
        <f>G51+G53</f>
        <v>4314911.3979166662</v>
      </c>
      <c r="H56" s="9"/>
      <c r="I56" s="9"/>
    </row>
  </sheetData>
  <sheetProtection selectLockedCells="1" selectUnlockedCells="1"/>
  <mergeCells count="7">
    <mergeCell ref="B3:C3"/>
    <mergeCell ref="D3:E3"/>
    <mergeCell ref="D39:F39"/>
    <mergeCell ref="A1:D1"/>
    <mergeCell ref="F11:G11"/>
    <mergeCell ref="A3:A4"/>
    <mergeCell ref="A39:A40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50"/>
  <sheetViews>
    <sheetView zoomScale="70" zoomScaleNormal="70" workbookViewId="0">
      <selection activeCell="B35" sqref="B35"/>
    </sheetView>
  </sheetViews>
  <sheetFormatPr baseColWidth="10" defaultColWidth="11.42578125" defaultRowHeight="12.75" x14ac:dyDescent="0.2"/>
  <cols>
    <col min="1" max="1" width="37.7109375" style="16" customWidth="1"/>
    <col min="2" max="2" width="25.28515625" style="16" customWidth="1"/>
    <col min="3" max="3" width="21.42578125" style="16" customWidth="1"/>
    <col min="4" max="4" width="20.7109375" style="16" customWidth="1"/>
    <col min="5" max="5" width="25.42578125" style="16" customWidth="1"/>
    <col min="6" max="6" width="18.28515625" style="16" customWidth="1"/>
    <col min="7" max="7" width="20.140625" style="16" customWidth="1"/>
    <col min="8" max="8" width="21.140625" style="16" customWidth="1"/>
    <col min="9" max="9" width="18.85546875" style="16" bestFit="1" customWidth="1"/>
    <col min="10" max="16384" width="11.42578125" style="16"/>
  </cols>
  <sheetData>
    <row r="1" spans="1:11" ht="15.75" x14ac:dyDescent="0.25">
      <c r="A1" s="861" t="s">
        <v>0</v>
      </c>
      <c r="B1" s="122"/>
      <c r="C1" s="122"/>
      <c r="D1" s="122"/>
      <c r="E1" s="800">
        <f>InfoInicial!E1</f>
        <v>8</v>
      </c>
      <c r="F1" s="122"/>
      <c r="G1" s="122"/>
      <c r="H1" s="122"/>
      <c r="I1" s="122"/>
      <c r="J1" s="122"/>
      <c r="K1" s="122"/>
    </row>
    <row r="2" spans="1:11" ht="15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16.5" thickBot="1" x14ac:dyDescent="0.3">
      <c r="A3" s="862" t="s">
        <v>333</v>
      </c>
      <c r="B3" s="730"/>
      <c r="C3" s="730"/>
      <c r="D3" s="730"/>
      <c r="E3" s="730"/>
      <c r="F3" s="730"/>
      <c r="G3" s="730"/>
      <c r="H3" s="122"/>
      <c r="I3" s="122"/>
      <c r="J3" s="122"/>
      <c r="K3" s="122"/>
    </row>
    <row r="4" spans="1:11" ht="16.5" thickBot="1" x14ac:dyDescent="0.3">
      <c r="A4" s="898"/>
      <c r="B4" s="731" t="s">
        <v>47</v>
      </c>
      <c r="C4" s="731" t="s">
        <v>48</v>
      </c>
      <c r="D4" s="731" t="s">
        <v>89</v>
      </c>
      <c r="E4" s="727" t="s">
        <v>90</v>
      </c>
      <c r="F4" s="731" t="s">
        <v>91</v>
      </c>
      <c r="G4" s="899" t="s">
        <v>92</v>
      </c>
      <c r="H4" s="122"/>
      <c r="I4" s="122"/>
      <c r="J4" s="122"/>
      <c r="K4" s="122"/>
    </row>
    <row r="5" spans="1:11" ht="16.5" thickBot="1" x14ac:dyDescent="0.3">
      <c r="A5" s="867" t="s">
        <v>334</v>
      </c>
      <c r="B5" s="738">
        <f t="shared" ref="B5:G5" si="0">+SUM(B7:B11)</f>
        <v>3878473.3383930866</v>
      </c>
      <c r="C5" s="738">
        <f t="shared" si="0"/>
        <v>16209350.975843852</v>
      </c>
      <c r="D5" s="738">
        <f t="shared" si="0"/>
        <v>22384168.73046571</v>
      </c>
      <c r="E5" s="737">
        <f t="shared" si="0"/>
        <v>28091612.112114441</v>
      </c>
      <c r="F5" s="738">
        <f t="shared" si="0"/>
        <v>33886400.178657204</v>
      </c>
      <c r="G5" s="900">
        <f t="shared" si="0"/>
        <v>40349974.422528923</v>
      </c>
      <c r="H5" s="800"/>
      <c r="I5" s="800"/>
      <c r="J5" s="800"/>
      <c r="K5" s="800"/>
    </row>
    <row r="6" spans="1:11" ht="15.75" x14ac:dyDescent="0.25">
      <c r="A6" s="901" t="s">
        <v>335</v>
      </c>
      <c r="B6" s="765"/>
      <c r="C6" s="765"/>
      <c r="D6" s="765"/>
      <c r="E6" s="902"/>
      <c r="F6" s="765"/>
      <c r="G6" s="903"/>
      <c r="H6" s="122"/>
      <c r="I6" s="122"/>
      <c r="J6" s="122"/>
      <c r="K6" s="122"/>
    </row>
    <row r="7" spans="1:11" ht="15" x14ac:dyDescent="0.2">
      <c r="A7" s="904" t="s">
        <v>336</v>
      </c>
      <c r="B7" s="768">
        <f>+'E-InvAT'!B6</f>
        <v>540000</v>
      </c>
      <c r="C7" s="768">
        <f>+'E-Cal Inv.'!C11+'E-Cal Inv.'!D11</f>
        <v>900000</v>
      </c>
      <c r="D7" s="768">
        <f>+'E-InvAT'!D6</f>
        <v>900000</v>
      </c>
      <c r="E7" s="905">
        <f>+'E-InvAT'!E6</f>
        <v>900000</v>
      </c>
      <c r="F7" s="768">
        <f>+'E-InvAT'!F6</f>
        <v>900000</v>
      </c>
      <c r="G7" s="906">
        <f>+'E-InvAT'!G6</f>
        <v>900000</v>
      </c>
      <c r="H7" s="122"/>
      <c r="I7" s="122"/>
      <c r="J7" s="122"/>
      <c r="K7" s="122"/>
    </row>
    <row r="8" spans="1:11" ht="15" x14ac:dyDescent="0.2">
      <c r="A8" s="904" t="s">
        <v>337</v>
      </c>
      <c r="B8" s="768">
        <f>+'F- CFyU'!B27</f>
        <v>0</v>
      </c>
      <c r="C8" s="768">
        <f>+'F- CFyU'!C27</f>
        <v>8144711.639109619</v>
      </c>
      <c r="D8" s="768">
        <f>+'F- CFyU'!D27</f>
        <v>13940268.551570985</v>
      </c>
      <c r="E8" s="905">
        <f>+'F- CFyU'!E27</f>
        <v>19648025.114165284</v>
      </c>
      <c r="F8" s="768">
        <f>+'F- CFyU'!F27</f>
        <v>25442789.978398282</v>
      </c>
      <c r="G8" s="906">
        <f>+'F- CFyU'!G27</f>
        <v>31906364.222269993</v>
      </c>
      <c r="H8" s="122"/>
      <c r="I8" s="122"/>
      <c r="J8" s="122"/>
      <c r="K8" s="122"/>
    </row>
    <row r="9" spans="1:11" ht="15.75" x14ac:dyDescent="0.25">
      <c r="A9" s="907" t="s">
        <v>338</v>
      </c>
      <c r="B9" s="768">
        <f>+'E-InvAT'!B7</f>
        <v>0</v>
      </c>
      <c r="C9" s="768">
        <f>+'E-InvAT'!C7</f>
        <v>2131849.3150684931</v>
      </c>
      <c r="D9" s="768">
        <f>+'E-InvAT'!D7</f>
        <v>2500000</v>
      </c>
      <c r="E9" s="905">
        <f>+'E-InvAT'!E7</f>
        <v>2500000</v>
      </c>
      <c r="F9" s="768">
        <f>+'E-InvAT'!F7</f>
        <v>2500000</v>
      </c>
      <c r="G9" s="906">
        <f>+'E-InvAT'!G7</f>
        <v>2500000</v>
      </c>
      <c r="H9" s="122"/>
      <c r="I9" s="122"/>
      <c r="J9" s="122"/>
      <c r="K9" s="122"/>
    </row>
    <row r="10" spans="1:11" ht="15.75" x14ac:dyDescent="0.25">
      <c r="A10" s="907" t="s">
        <v>339</v>
      </c>
      <c r="B10" s="768">
        <f>+'E-InvAT'!B9</f>
        <v>1207810.9192855756</v>
      </c>
      <c r="C10" s="768">
        <f>+'E-InvAT'!C9</f>
        <v>5032790.0216657408</v>
      </c>
      <c r="D10" s="768">
        <f>+'E-InvAT'!D9</f>
        <v>5043900.1788947228</v>
      </c>
      <c r="E10" s="905">
        <f>+'E-InvAT'!E9</f>
        <v>5043586.9979491569</v>
      </c>
      <c r="F10" s="768">
        <f>+'E-InvAT'!F9</f>
        <v>5043610.2002589237</v>
      </c>
      <c r="G10" s="906">
        <f>+'E-InvAT'!G9</f>
        <v>5043610.2002589237</v>
      </c>
      <c r="H10" s="122"/>
      <c r="I10" s="122"/>
      <c r="J10" s="122"/>
      <c r="K10" s="122"/>
    </row>
    <row r="11" spans="1:11" ht="16.5" thickBot="1" x14ac:dyDescent="0.3">
      <c r="A11" s="908" t="s">
        <v>340</v>
      </c>
      <c r="B11" s="909">
        <f>+'F-IVA'!B18</f>
        <v>2130662.4191075107</v>
      </c>
      <c r="C11" s="909">
        <f>+'F-IVA'!C18</f>
        <v>0</v>
      </c>
      <c r="D11" s="909">
        <v>0</v>
      </c>
      <c r="E11" s="909">
        <f>+'F-IVA'!E18</f>
        <v>0</v>
      </c>
      <c r="F11" s="909">
        <f>+'F-IVA'!F18</f>
        <v>0</v>
      </c>
      <c r="G11" s="909">
        <f>+'F-IVA'!G18</f>
        <v>0</v>
      </c>
      <c r="H11" s="122"/>
      <c r="I11" s="122"/>
      <c r="J11" s="122"/>
      <c r="K11" s="122"/>
    </row>
    <row r="12" spans="1:11" ht="16.5" thickBot="1" x14ac:dyDescent="0.3">
      <c r="A12" s="867" t="s">
        <v>341</v>
      </c>
      <c r="B12" s="738">
        <f t="shared" ref="B12:G12" si="1">B17+B22+B23</f>
        <v>8398200.6002740003</v>
      </c>
      <c r="C12" s="738">
        <f t="shared" si="1"/>
        <v>7668943.1202160008</v>
      </c>
      <c r="D12" s="738">
        <f t="shared" si="1"/>
        <v>6789835.6401580004</v>
      </c>
      <c r="E12" s="738">
        <f t="shared" si="1"/>
        <v>5910728.1601000009</v>
      </c>
      <c r="F12" s="738">
        <f t="shared" si="1"/>
        <v>5112819.7790083345</v>
      </c>
      <c r="G12" s="738">
        <f t="shared" si="1"/>
        <v>4314911.3979166681</v>
      </c>
      <c r="H12" s="800"/>
      <c r="I12" s="800"/>
      <c r="J12" s="800"/>
      <c r="K12" s="800"/>
    </row>
    <row r="13" spans="1:11" ht="15.75" x14ac:dyDescent="0.25">
      <c r="A13" s="901" t="s">
        <v>342</v>
      </c>
      <c r="B13" s="765"/>
      <c r="C13" s="765"/>
      <c r="D13" s="765"/>
      <c r="E13" s="902"/>
      <c r="F13" s="765"/>
      <c r="G13" s="903"/>
      <c r="H13" s="122"/>
      <c r="I13" s="122"/>
      <c r="J13" s="122"/>
      <c r="K13" s="122"/>
    </row>
    <row r="14" spans="1:11" ht="15" x14ac:dyDescent="0.2">
      <c r="A14" s="904" t="s">
        <v>343</v>
      </c>
      <c r="B14" s="768">
        <f>+'F-2 Estructura'!B6</f>
        <v>1409097.2968989999</v>
      </c>
      <c r="C14" s="768">
        <f>+B17</f>
        <v>1409097.2968989999</v>
      </c>
      <c r="D14" s="768">
        <f>+C17</f>
        <v>1214678.1979326666</v>
      </c>
      <c r="E14" s="905">
        <f>+D17</f>
        <v>870409.09896633332</v>
      </c>
      <c r="F14" s="768">
        <f>+E17</f>
        <v>526140</v>
      </c>
      <c r="G14" s="906">
        <f>+F17</f>
        <v>263070</v>
      </c>
      <c r="H14" s="122"/>
      <c r="I14" s="122"/>
      <c r="J14" s="122"/>
      <c r="K14" s="122"/>
    </row>
    <row r="15" spans="1:11" ht="15" x14ac:dyDescent="0.2">
      <c r="A15" s="904" t="s">
        <v>344</v>
      </c>
      <c r="B15" s="768">
        <v>0</v>
      </c>
      <c r="C15" s="768">
        <f>+'F-2 Estructura'!C6</f>
        <v>149850</v>
      </c>
      <c r="D15" s="768">
        <v>0</v>
      </c>
      <c r="E15" s="905">
        <v>0</v>
      </c>
      <c r="F15" s="768">
        <v>0</v>
      </c>
      <c r="G15" s="906">
        <v>0</v>
      </c>
      <c r="H15" s="122"/>
      <c r="I15" s="122"/>
      <c r="J15" s="122"/>
      <c r="K15" s="122"/>
    </row>
    <row r="16" spans="1:11" ht="15" x14ac:dyDescent="0.2">
      <c r="A16" s="904" t="s">
        <v>345</v>
      </c>
      <c r="B16" s="768">
        <v>0</v>
      </c>
      <c r="C16" s="768">
        <f>-('E-Inv AF y Am'!$D$53+'Gasto financiero'!$B$2)</f>
        <v>-344269.09896633332</v>
      </c>
      <c r="D16" s="768">
        <f>-('E-Inv AF y Am'!$D$53+'Gasto financiero'!$B$2)</f>
        <v>-344269.09896633332</v>
      </c>
      <c r="E16" s="768">
        <f>-('E-Inv AF y Am'!$D$53+'Gasto financiero'!$B$2)</f>
        <v>-344269.09896633332</v>
      </c>
      <c r="F16" s="768">
        <f>-'E-Inv AF y Am'!$E$53</f>
        <v>-263070</v>
      </c>
      <c r="G16" s="768">
        <f>-'E-Inv AF y Am'!$E$53</f>
        <v>-263070</v>
      </c>
      <c r="H16" s="122"/>
      <c r="I16" s="122"/>
      <c r="J16" s="122"/>
      <c r="K16" s="122"/>
    </row>
    <row r="17" spans="1:11" ht="15" x14ac:dyDescent="0.2">
      <c r="A17" s="904" t="s">
        <v>346</v>
      </c>
      <c r="B17" s="768">
        <f t="shared" ref="B17:G17" si="2">+B14+B15+B16</f>
        <v>1409097.2968989999</v>
      </c>
      <c r="C17" s="768">
        <f t="shared" si="2"/>
        <v>1214678.1979326666</v>
      </c>
      <c r="D17" s="768">
        <f t="shared" si="2"/>
        <v>870409.09896633332</v>
      </c>
      <c r="E17" s="768">
        <f t="shared" si="2"/>
        <v>526140</v>
      </c>
      <c r="F17" s="768">
        <f t="shared" si="2"/>
        <v>263070</v>
      </c>
      <c r="G17" s="768">
        <f t="shared" si="2"/>
        <v>0</v>
      </c>
      <c r="H17" s="122"/>
      <c r="I17" s="122"/>
      <c r="J17" s="122"/>
      <c r="K17" s="122"/>
    </row>
    <row r="18" spans="1:11" ht="15.75" x14ac:dyDescent="0.25">
      <c r="A18" s="907" t="s">
        <v>81</v>
      </c>
      <c r="B18" s="768"/>
      <c r="C18" s="768"/>
      <c r="D18" s="768"/>
      <c r="E18" s="905"/>
      <c r="F18" s="768"/>
      <c r="G18" s="906"/>
      <c r="H18" s="122"/>
      <c r="I18" s="122"/>
      <c r="J18" s="122"/>
      <c r="K18" s="122"/>
    </row>
    <row r="19" spans="1:11" ht="15" x14ac:dyDescent="0.2">
      <c r="A19" s="904" t="s">
        <v>343</v>
      </c>
      <c r="B19" s="768">
        <f>+'F-2 Estructura'!B5</f>
        <v>6989103.3033750001</v>
      </c>
      <c r="C19" s="768">
        <f>+B22</f>
        <v>6989103.3033750001</v>
      </c>
      <c r="D19" s="768">
        <f>+C22</f>
        <v>6454264.9222833337</v>
      </c>
      <c r="E19" s="905">
        <f>+D22</f>
        <v>5919426.5411916673</v>
      </c>
      <c r="F19" s="768">
        <f>+E22</f>
        <v>5384588.1601000009</v>
      </c>
      <c r="G19" s="906">
        <f>+F22</f>
        <v>4849749.7790083345</v>
      </c>
      <c r="H19" s="122"/>
      <c r="I19" s="122"/>
      <c r="J19" s="122"/>
      <c r="K19" s="122"/>
    </row>
    <row r="20" spans="1:11" ht="15" x14ac:dyDescent="0.2">
      <c r="A20" s="904" t="s">
        <v>347</v>
      </c>
      <c r="B20" s="768">
        <v>0</v>
      </c>
      <c r="C20" s="768">
        <v>0</v>
      </c>
      <c r="D20" s="768">
        <v>0</v>
      </c>
      <c r="E20" s="905">
        <v>0</v>
      </c>
      <c r="F20" s="768">
        <v>0</v>
      </c>
      <c r="G20" s="906">
        <v>0</v>
      </c>
      <c r="H20" s="122"/>
      <c r="I20" s="122"/>
      <c r="J20" s="122"/>
      <c r="K20" s="122"/>
    </row>
    <row r="21" spans="1:11" ht="15" x14ac:dyDescent="0.2">
      <c r="A21" s="904" t="s">
        <v>348</v>
      </c>
      <c r="B21" s="768">
        <v>0</v>
      </c>
      <c r="C21" s="768">
        <f>-'E-Inv AF y Am'!$D$51</f>
        <v>-534838.38109166664</v>
      </c>
      <c r="D21" s="768">
        <f>-'E-Inv AF y Am'!$D$51</f>
        <v>-534838.38109166664</v>
      </c>
      <c r="E21" s="768">
        <f>-'E-Inv AF y Am'!$D$51</f>
        <v>-534838.38109166664</v>
      </c>
      <c r="F21" s="768">
        <f>-'E-Inv AF y Am'!$E$51</f>
        <v>-534838.38109166664</v>
      </c>
      <c r="G21" s="768">
        <f>-'E-Inv AF y Am'!$E$51</f>
        <v>-534838.38109166664</v>
      </c>
      <c r="H21" s="122"/>
      <c r="I21" s="122"/>
      <c r="J21" s="122"/>
      <c r="K21" s="122"/>
    </row>
    <row r="22" spans="1:11" ht="15" x14ac:dyDescent="0.2">
      <c r="A22" s="904" t="s">
        <v>346</v>
      </c>
      <c r="B22" s="768">
        <f t="shared" ref="B22:G22" si="3">+B19+B20+B21</f>
        <v>6989103.3033750001</v>
      </c>
      <c r="C22" s="768">
        <f t="shared" si="3"/>
        <v>6454264.9222833337</v>
      </c>
      <c r="D22" s="768">
        <f t="shared" si="3"/>
        <v>5919426.5411916673</v>
      </c>
      <c r="E22" s="768">
        <f t="shared" si="3"/>
        <v>5384588.1601000009</v>
      </c>
      <c r="F22" s="768">
        <f t="shared" si="3"/>
        <v>4849749.7790083345</v>
      </c>
      <c r="G22" s="768">
        <f t="shared" si="3"/>
        <v>4314911.3979166681</v>
      </c>
      <c r="H22" s="122"/>
      <c r="I22" s="122"/>
      <c r="J22" s="122"/>
      <c r="K22" s="122"/>
    </row>
    <row r="23" spans="1:11" ht="16.5" thickBot="1" x14ac:dyDescent="0.3">
      <c r="A23" s="908" t="s">
        <v>349</v>
      </c>
      <c r="B23" s="909">
        <v>0</v>
      </c>
      <c r="C23" s="909">
        <v>0</v>
      </c>
      <c r="D23" s="909">
        <v>0</v>
      </c>
      <c r="E23" s="910">
        <v>0</v>
      </c>
      <c r="F23" s="909">
        <v>0</v>
      </c>
      <c r="G23" s="911">
        <v>0</v>
      </c>
      <c r="H23" s="122"/>
      <c r="I23" s="122"/>
      <c r="J23" s="122"/>
      <c r="K23" s="122"/>
    </row>
    <row r="24" spans="1:11" ht="16.5" thickBot="1" x14ac:dyDescent="0.3">
      <c r="A24" s="867" t="s">
        <v>350</v>
      </c>
      <c r="B24" s="1098">
        <f t="shared" ref="B24:G24" si="4">+B5+B12</f>
        <v>12276673.938667087</v>
      </c>
      <c r="C24" s="1098">
        <f t="shared" si="4"/>
        <v>23878294.096059851</v>
      </c>
      <c r="D24" s="1098">
        <f t="shared" si="4"/>
        <v>29174004.370623711</v>
      </c>
      <c r="E24" s="1099">
        <f t="shared" si="4"/>
        <v>34002340.272214442</v>
      </c>
      <c r="F24" s="1098">
        <f t="shared" si="4"/>
        <v>38999219.95766554</v>
      </c>
      <c r="G24" s="1100">
        <f t="shared" si="4"/>
        <v>44664885.82044559</v>
      </c>
      <c r="H24" s="800"/>
      <c r="I24" s="1119"/>
      <c r="J24" s="800"/>
      <c r="K24" s="800"/>
    </row>
    <row r="25" spans="1:11" ht="16.5" thickBot="1" x14ac:dyDescent="0.3">
      <c r="A25" s="800"/>
      <c r="B25" s="733"/>
      <c r="C25" s="733"/>
      <c r="D25" s="733"/>
      <c r="E25" s="733"/>
      <c r="F25" s="733"/>
      <c r="G25" s="733"/>
      <c r="H25" s="122"/>
      <c r="I25" s="122"/>
      <c r="J25" s="122"/>
      <c r="K25" s="122"/>
    </row>
    <row r="26" spans="1:11" ht="16.5" thickBot="1" x14ac:dyDescent="0.3">
      <c r="A26" s="867" t="s">
        <v>351</v>
      </c>
      <c r="B26" s="738">
        <f t="shared" ref="B26:G26" si="5">SUM(B27:B28)</f>
        <v>0</v>
      </c>
      <c r="C26" s="738">
        <f t="shared" si="5"/>
        <v>4435763.3219896583</v>
      </c>
      <c r="D26" s="738">
        <f t="shared" si="5"/>
        <v>4989393.5422146581</v>
      </c>
      <c r="E26" s="738">
        <f t="shared" si="5"/>
        <v>4989393.5422146581</v>
      </c>
      <c r="F26" s="738">
        <f t="shared" si="5"/>
        <v>4435763.3219896583</v>
      </c>
      <c r="G26" s="738">
        <f t="shared" si="5"/>
        <v>3882133.1017646585</v>
      </c>
      <c r="H26" s="800"/>
      <c r="I26" s="800"/>
      <c r="J26" s="800"/>
      <c r="K26" s="800"/>
    </row>
    <row r="27" spans="1:11" ht="15.75" x14ac:dyDescent="0.25">
      <c r="A27" s="901" t="s">
        <v>352</v>
      </c>
      <c r="B27" s="912">
        <v>0</v>
      </c>
      <c r="C27" s="912">
        <f>'Servicio de CR'!$C$3</f>
        <v>3882133.1017646585</v>
      </c>
      <c r="D27" s="912">
        <f>'Servicio de CR'!$C$3</f>
        <v>3882133.1017646585</v>
      </c>
      <c r="E27" s="912">
        <f>'Servicio de CR'!$C$3</f>
        <v>3882133.1017646585</v>
      </c>
      <c r="F27" s="912">
        <f>'Servicio de CR'!$C$3</f>
        <v>3882133.1017646585</v>
      </c>
      <c r="G27" s="912">
        <f>'Servicio de CR'!$C$3</f>
        <v>3882133.1017646585</v>
      </c>
      <c r="H27" s="122"/>
      <c r="I27" s="122"/>
      <c r="J27" s="122"/>
      <c r="K27" s="122"/>
    </row>
    <row r="28" spans="1:11" ht="16.5" thickBot="1" x14ac:dyDescent="0.3">
      <c r="A28" s="908" t="s">
        <v>353</v>
      </c>
      <c r="B28" s="909">
        <v>0</v>
      </c>
      <c r="C28" s="909">
        <f>'F-Cred'!E26</f>
        <v>553630.22022500006</v>
      </c>
      <c r="D28" s="909">
        <f>'F-Cred'!E28</f>
        <v>1107260.4404500001</v>
      </c>
      <c r="E28" s="909">
        <f>'F-Cred'!E28</f>
        <v>1107260.4404500001</v>
      </c>
      <c r="F28" s="909">
        <f>'F-Cred'!E31</f>
        <v>553630.22022500006</v>
      </c>
      <c r="G28" s="911"/>
      <c r="H28" s="122"/>
      <c r="I28" s="1120">
        <f>C24-C38</f>
        <v>0</v>
      </c>
      <c r="J28" s="122"/>
      <c r="K28" s="122"/>
    </row>
    <row r="29" spans="1:11" ht="16.5" thickBot="1" x14ac:dyDescent="0.3">
      <c r="A29" s="867" t="s">
        <v>354</v>
      </c>
      <c r="B29" s="738">
        <f t="shared" ref="B29:G29" si="6">B30</f>
        <v>3321781.3213499999</v>
      </c>
      <c r="C29" s="738">
        <f t="shared" si="6"/>
        <v>2768151.101125</v>
      </c>
      <c r="D29" s="738">
        <f t="shared" si="6"/>
        <v>1660890.6606749997</v>
      </c>
      <c r="E29" s="738">
        <f t="shared" si="6"/>
        <v>553630.22022499959</v>
      </c>
      <c r="F29" s="738">
        <f t="shared" si="6"/>
        <v>0</v>
      </c>
      <c r="G29" s="738">
        <f t="shared" si="6"/>
        <v>0</v>
      </c>
      <c r="H29" s="800"/>
      <c r="I29" s="1121">
        <f>D24-D38</f>
        <v>0</v>
      </c>
      <c r="J29" s="800"/>
      <c r="K29" s="800"/>
    </row>
    <row r="30" spans="1:11" ht="16.5" thickBot="1" x14ac:dyDescent="0.3">
      <c r="A30" s="913" t="s">
        <v>353</v>
      </c>
      <c r="B30" s="914">
        <f>'F-Cred'!E33</f>
        <v>3321781.3213499999</v>
      </c>
      <c r="C30" s="914">
        <f>'F-Cred'!$E$33-'F-Cred'!E26</f>
        <v>2768151.101125</v>
      </c>
      <c r="D30" s="914">
        <f>'F-Cred'!E33-'F-Cred'!E28-'F-Cred'!E26</f>
        <v>1660890.6606749997</v>
      </c>
      <c r="E30" s="914">
        <f>'F-Cred'!E33-'F-Cred'!E30-'F-Cred'!E28-'F-Cred'!E26</f>
        <v>553630.22022499959</v>
      </c>
      <c r="F30" s="914">
        <v>0</v>
      </c>
      <c r="G30" s="915">
        <v>0</v>
      </c>
      <c r="H30" s="122"/>
      <c r="I30" s="1120">
        <f>E24-E38</f>
        <v>0</v>
      </c>
      <c r="J30" s="122"/>
      <c r="K30" s="122"/>
    </row>
    <row r="31" spans="1:11" ht="16.5" thickBot="1" x14ac:dyDescent="0.3">
      <c r="A31" s="867" t="s">
        <v>355</v>
      </c>
      <c r="B31" s="738">
        <f t="shared" ref="B31:G31" si="7">B29+B26</f>
        <v>3321781.3213499999</v>
      </c>
      <c r="C31" s="738">
        <f t="shared" si="7"/>
        <v>7203914.4231146583</v>
      </c>
      <c r="D31" s="738">
        <f t="shared" si="7"/>
        <v>6650284.2028896576</v>
      </c>
      <c r="E31" s="738">
        <f t="shared" si="7"/>
        <v>5543023.7624396579</v>
      </c>
      <c r="F31" s="738">
        <f t="shared" si="7"/>
        <v>4435763.3219896583</v>
      </c>
      <c r="G31" s="738">
        <f t="shared" si="7"/>
        <v>3882133.1017646585</v>
      </c>
      <c r="H31" s="800"/>
      <c r="I31" s="1120">
        <f>F24-F38</f>
        <v>0</v>
      </c>
      <c r="J31" s="800"/>
      <c r="K31" s="800"/>
    </row>
    <row r="32" spans="1:11" ht="16.5" thickBot="1" x14ac:dyDescent="0.3">
      <c r="A32" s="800"/>
      <c r="B32" s="733"/>
      <c r="C32" s="733"/>
      <c r="D32" s="733"/>
      <c r="E32" s="733"/>
      <c r="F32" s="733"/>
      <c r="G32" s="733"/>
      <c r="H32" s="122"/>
      <c r="I32" s="122"/>
      <c r="J32" s="122"/>
      <c r="K32" s="122"/>
    </row>
    <row r="33" spans="1:11" ht="16.5" thickBot="1" x14ac:dyDescent="0.3">
      <c r="A33" s="867" t="s">
        <v>356</v>
      </c>
      <c r="B33" s="916">
        <f t="shared" ref="B33:G33" si="8">B34+B35+B36</f>
        <v>8954892.6173170842</v>
      </c>
      <c r="C33" s="916">
        <f t="shared" si="8"/>
        <v>16674379.672945192</v>
      </c>
      <c r="D33" s="916">
        <f t="shared" si="8"/>
        <v>22523720.167734049</v>
      </c>
      <c r="E33" s="916">
        <f t="shared" si="8"/>
        <v>28459316.509774789</v>
      </c>
      <c r="F33" s="916">
        <f t="shared" si="8"/>
        <v>34563456.635675892</v>
      </c>
      <c r="G33" s="916">
        <f t="shared" si="8"/>
        <v>40782752.718680933</v>
      </c>
      <c r="H33" s="122"/>
      <c r="I33" s="122"/>
      <c r="J33" s="122"/>
      <c r="K33" s="122"/>
    </row>
    <row r="34" spans="1:11" ht="15.75" x14ac:dyDescent="0.25">
      <c r="A34" s="901" t="s">
        <v>357</v>
      </c>
      <c r="B34" s="912">
        <f>'F-2 Estructura'!B30</f>
        <v>8954892.6173170842</v>
      </c>
      <c r="C34" s="912">
        <f>'F-2 Estructura'!$D$30</f>
        <v>12174591.101086831</v>
      </c>
      <c r="D34" s="912">
        <f>'F-2 Estructura'!$D$30</f>
        <v>12174591.101086831</v>
      </c>
      <c r="E34" s="912">
        <f>'F-2 Estructura'!$D$30</f>
        <v>12174591.101086831</v>
      </c>
      <c r="F34" s="912">
        <f>'F-2 Estructura'!$D$30</f>
        <v>12174591.101086831</v>
      </c>
      <c r="G34" s="912">
        <f>'F-2 Estructura'!$D$30</f>
        <v>12174591.101086831</v>
      </c>
      <c r="H34" s="122"/>
      <c r="I34" s="122"/>
      <c r="J34" s="122"/>
      <c r="K34" s="122"/>
    </row>
    <row r="35" spans="1:11" ht="15.75" x14ac:dyDescent="0.25">
      <c r="A35" s="907" t="s">
        <v>358</v>
      </c>
      <c r="B35" s="768">
        <v>0</v>
      </c>
      <c r="C35" s="768">
        <f>+'F-CRes'!B14</f>
        <v>4499788.5718583614</v>
      </c>
      <c r="D35" s="768">
        <f>'F-CRes'!C14</f>
        <v>5849340.4947888572</v>
      </c>
      <c r="E35" s="768">
        <f>'F-CRes'!D14</f>
        <v>5935596.3420407372</v>
      </c>
      <c r="F35" s="768">
        <f>'F-CRes'!E14</f>
        <v>6104140.1259011012</v>
      </c>
      <c r="G35" s="768">
        <f>'F-CRes'!F14</f>
        <v>6219296.0830050465</v>
      </c>
      <c r="H35" s="122"/>
      <c r="I35" s="122"/>
      <c r="J35" s="122"/>
      <c r="K35" s="122"/>
    </row>
    <row r="36" spans="1:11" ht="16.5" thickBot="1" x14ac:dyDescent="0.3">
      <c r="A36" s="917" t="s">
        <v>359</v>
      </c>
      <c r="B36" s="797">
        <v>0</v>
      </c>
      <c r="C36" s="797">
        <v>0</v>
      </c>
      <c r="D36" s="797">
        <f>C35+C36</f>
        <v>4499788.5718583614</v>
      </c>
      <c r="E36" s="797">
        <f>D35+D36</f>
        <v>10349129.066647219</v>
      </c>
      <c r="F36" s="797">
        <f>E35+E36</f>
        <v>16284725.408687957</v>
      </c>
      <c r="G36" s="797">
        <f>F35+F36</f>
        <v>22388865.53458906</v>
      </c>
      <c r="H36" s="122"/>
      <c r="I36" s="122"/>
      <c r="J36" s="122"/>
      <c r="K36" s="122"/>
    </row>
    <row r="37" spans="1:11" ht="16.5" thickBot="1" x14ac:dyDescent="0.3">
      <c r="A37" s="800"/>
      <c r="B37" s="733"/>
      <c r="C37" s="733"/>
      <c r="D37" s="733"/>
      <c r="E37" s="733"/>
      <c r="F37" s="733"/>
      <c r="G37" s="733"/>
      <c r="H37" s="122"/>
      <c r="I37" s="122"/>
      <c r="J37" s="122"/>
      <c r="K37" s="122"/>
    </row>
    <row r="38" spans="1:11" ht="16.5" thickBot="1" x14ac:dyDescent="0.3">
      <c r="A38" s="867" t="s">
        <v>360</v>
      </c>
      <c r="B38" s="1098">
        <f t="shared" ref="B38:G38" si="9">B33+B31</f>
        <v>12276673.938667085</v>
      </c>
      <c r="C38" s="1098">
        <f t="shared" si="9"/>
        <v>23878294.096059851</v>
      </c>
      <c r="D38" s="1098">
        <f t="shared" si="9"/>
        <v>29174004.370623708</v>
      </c>
      <c r="E38" s="1098">
        <f t="shared" si="9"/>
        <v>34002340.27221445</v>
      </c>
      <c r="F38" s="1098">
        <f t="shared" si="9"/>
        <v>38999219.957665548</v>
      </c>
      <c r="G38" s="1098">
        <f t="shared" si="9"/>
        <v>44664885.82044559</v>
      </c>
      <c r="H38" s="122"/>
      <c r="I38" s="122"/>
      <c r="J38" s="122"/>
      <c r="K38" s="122"/>
    </row>
    <row r="39" spans="1:11" ht="15" x14ac:dyDescent="0.2">
      <c r="A39" s="122"/>
      <c r="B39" s="918"/>
      <c r="C39" s="918"/>
      <c r="D39" s="918"/>
      <c r="E39" s="918"/>
      <c r="F39" s="918"/>
      <c r="G39" s="918"/>
      <c r="H39" s="122"/>
      <c r="I39" s="122"/>
      <c r="J39" s="122"/>
      <c r="K39" s="122"/>
    </row>
    <row r="40" spans="1:11" ht="15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1:11" ht="15" x14ac:dyDescent="0.2">
      <c r="A41" s="122"/>
      <c r="B41" s="122"/>
      <c r="C41" s="122"/>
      <c r="D41" s="122"/>
      <c r="E41" s="122"/>
      <c r="F41" s="1081"/>
      <c r="G41" s="1081"/>
      <c r="H41" s="1081"/>
      <c r="I41" s="1081"/>
      <c r="J41" s="122"/>
      <c r="K41" s="122"/>
    </row>
    <row r="42" spans="1:11" ht="15.75" x14ac:dyDescent="0.2">
      <c r="A42" s="122"/>
      <c r="B42" s="122"/>
      <c r="C42" s="122"/>
      <c r="D42" s="122"/>
      <c r="E42" s="122"/>
      <c r="F42" s="1081"/>
      <c r="G42" s="196"/>
      <c r="H42" s="1101"/>
      <c r="I42" s="1081"/>
      <c r="J42" s="122"/>
      <c r="K42" s="122"/>
    </row>
    <row r="43" spans="1:11" ht="15" x14ac:dyDescent="0.2">
      <c r="A43" s="122"/>
      <c r="B43" s="122"/>
      <c r="C43" s="122"/>
      <c r="D43" s="122"/>
      <c r="E43" s="122"/>
      <c r="F43" s="1081"/>
      <c r="G43" s="1081"/>
      <c r="H43" s="1081"/>
      <c r="I43" s="1081"/>
      <c r="J43" s="122"/>
      <c r="K43" s="122"/>
    </row>
    <row r="44" spans="1:11" ht="15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1:11" ht="15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1:11" ht="15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1:11" ht="15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1:11" ht="15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1:11" ht="15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1:11" ht="15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</sheetData>
  <sheetProtection selectLockedCells="1" selectUnlockedCells="1"/>
  <conditionalFormatting sqref="B39:G39">
    <cfRule type="cellIs" dxfId="0" priority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45"/>
  <sheetViews>
    <sheetView tabSelected="1" topLeftCell="A17" zoomScale="85" zoomScaleNormal="85" workbookViewId="0">
      <selection activeCell="D33" sqref="D33"/>
    </sheetView>
  </sheetViews>
  <sheetFormatPr baseColWidth="10" defaultColWidth="11.42578125" defaultRowHeight="12.75" x14ac:dyDescent="0.2"/>
  <cols>
    <col min="1" max="1" width="10" style="16" customWidth="1"/>
    <col min="2" max="3" width="14.85546875" style="16" customWidth="1"/>
    <col min="4" max="4" width="15.42578125" style="16" bestFit="1" customWidth="1"/>
    <col min="5" max="5" width="15.5703125" style="16" bestFit="1" customWidth="1"/>
    <col min="6" max="6" width="51.85546875" style="16" bestFit="1" customWidth="1"/>
    <col min="7" max="7" width="18.28515625" style="16" customWidth="1"/>
    <col min="8" max="8" width="19" style="16" customWidth="1"/>
    <col min="9" max="9" width="17.140625" style="16" customWidth="1"/>
    <col min="10" max="11" width="14.85546875" style="16" customWidth="1"/>
    <col min="12" max="12" width="15.42578125" style="16" bestFit="1" customWidth="1"/>
    <col min="13" max="13" width="17.140625" style="16" customWidth="1"/>
    <col min="14" max="14" width="17.7109375" style="16" customWidth="1"/>
    <col min="15" max="15" width="17.42578125" style="16" customWidth="1"/>
    <col min="16" max="16" width="11.5703125" style="16" bestFit="1" customWidth="1"/>
    <col min="17" max="17" width="16.42578125" style="16" bestFit="1" customWidth="1"/>
    <col min="18" max="16384" width="11.42578125" style="16"/>
  </cols>
  <sheetData>
    <row r="1" spans="1:19" ht="15" x14ac:dyDescent="0.2">
      <c r="A1" s="996" t="s">
        <v>0</v>
      </c>
      <c r="B1" s="997"/>
      <c r="C1" s="997"/>
      <c r="D1" s="997"/>
      <c r="E1" s="997"/>
      <c r="F1" s="997"/>
      <c r="G1" s="998">
        <f>InfoInicial!E1</f>
        <v>8</v>
      </c>
      <c r="H1" s="997"/>
      <c r="I1" s="997"/>
      <c r="J1" s="997"/>
      <c r="K1" s="997"/>
      <c r="L1" s="997"/>
      <c r="M1" s="997"/>
      <c r="N1" s="997"/>
      <c r="O1" s="997"/>
      <c r="P1" s="997"/>
      <c r="Q1" s="997"/>
      <c r="R1" s="122"/>
      <c r="S1" s="122"/>
    </row>
    <row r="2" spans="1:19" ht="15" x14ac:dyDescent="0.2">
      <c r="A2" s="997"/>
      <c r="B2" s="997"/>
      <c r="C2" s="997"/>
      <c r="D2" s="997"/>
      <c r="E2" s="997"/>
      <c r="F2" s="997"/>
      <c r="G2" s="997"/>
      <c r="H2" s="997"/>
      <c r="I2" s="997"/>
      <c r="J2" s="997"/>
      <c r="K2" s="997"/>
      <c r="L2" s="997"/>
      <c r="M2" s="997"/>
      <c r="N2" s="997"/>
      <c r="O2" s="997"/>
      <c r="P2" s="997"/>
      <c r="Q2" s="997"/>
      <c r="R2" s="122"/>
      <c r="S2" s="122"/>
    </row>
    <row r="3" spans="1:19" ht="15.75" thickBot="1" x14ac:dyDescent="0.25">
      <c r="A3" s="999" t="s">
        <v>361</v>
      </c>
      <c r="B3" s="1000"/>
      <c r="C3" s="1000"/>
      <c r="D3" s="1000"/>
      <c r="E3" s="1000"/>
      <c r="F3" s="1000"/>
      <c r="G3" s="1000"/>
      <c r="H3" s="1000"/>
      <c r="I3" s="1000"/>
      <c r="J3" s="1000"/>
      <c r="K3" s="1000"/>
      <c r="L3" s="1000"/>
      <c r="M3" s="1000"/>
      <c r="N3" s="1000"/>
      <c r="O3" s="997"/>
      <c r="P3" s="1080"/>
      <c r="Q3" s="1080"/>
      <c r="R3" s="1081"/>
      <c r="S3" s="122"/>
    </row>
    <row r="4" spans="1:19" ht="26.25" thickBot="1" x14ac:dyDescent="0.25">
      <c r="A4" s="1001" t="s">
        <v>230</v>
      </c>
      <c r="B4" s="1002" t="s">
        <v>321</v>
      </c>
      <c r="C4" s="1003" t="s">
        <v>362</v>
      </c>
      <c r="D4" s="1003" t="s">
        <v>233</v>
      </c>
      <c r="E4" s="1003" t="s">
        <v>3</v>
      </c>
      <c r="F4" s="1004" t="s">
        <v>234</v>
      </c>
      <c r="G4" s="1005" t="s">
        <v>235</v>
      </c>
      <c r="H4" s="1002" t="s">
        <v>363</v>
      </c>
      <c r="I4" s="1003" t="s">
        <v>364</v>
      </c>
      <c r="J4" s="1003" t="s">
        <v>107</v>
      </c>
      <c r="K4" s="1003" t="s">
        <v>237</v>
      </c>
      <c r="L4" s="1004" t="s">
        <v>238</v>
      </c>
      <c r="M4" s="1006" t="s">
        <v>239</v>
      </c>
      <c r="N4" s="1007" t="s">
        <v>240</v>
      </c>
      <c r="O4" s="1008"/>
      <c r="P4" s="1060"/>
      <c r="Q4" s="1061"/>
      <c r="R4" s="1082"/>
      <c r="S4" s="196"/>
    </row>
    <row r="5" spans="1:19" ht="15" x14ac:dyDescent="0.2">
      <c r="A5" s="1009">
        <v>0</v>
      </c>
      <c r="B5" s="1010">
        <f>'F-2 Estructura'!B7</f>
        <v>8398200.6002740003</v>
      </c>
      <c r="C5" s="1011">
        <f>'E-InvAT'!B24</f>
        <v>1747810.9192855756</v>
      </c>
      <c r="D5" s="1011">
        <f>+'F-IVA'!B17</f>
        <v>2130662.4191075107</v>
      </c>
      <c r="E5" s="1011">
        <f>+'E-Form'!E5</f>
        <v>0</v>
      </c>
      <c r="F5" s="1012"/>
      <c r="G5" s="1013">
        <f t="shared" ref="G5:G10" si="0">SUM(B5:F5)</f>
        <v>12276673.938667085</v>
      </c>
      <c r="H5" s="1014">
        <v>0</v>
      </c>
      <c r="I5" s="1011">
        <f>'Gasto financiero'!B7</f>
        <v>243597.29689900004</v>
      </c>
      <c r="J5" s="1011">
        <v>0</v>
      </c>
      <c r="K5" s="1011">
        <v>0</v>
      </c>
      <c r="L5" s="1012">
        <f t="shared" ref="L5:L10" si="1">SUM(H5:K5)</f>
        <v>243597.29689900004</v>
      </c>
      <c r="M5" s="1015">
        <f>L5-G5</f>
        <v>-12033076.641768085</v>
      </c>
      <c r="N5" s="1016">
        <f>M5</f>
        <v>-12033076.641768085</v>
      </c>
      <c r="O5" s="997"/>
      <c r="P5" s="1066"/>
      <c r="Q5" s="1084"/>
      <c r="R5" s="1083"/>
      <c r="S5" s="198"/>
    </row>
    <row r="6" spans="1:19" ht="15" x14ac:dyDescent="0.2">
      <c r="A6" s="1017">
        <v>1</v>
      </c>
      <c r="B6" s="1010">
        <f>+'F-2 Estructura'!C7</f>
        <v>149850</v>
      </c>
      <c r="C6" s="1018">
        <f>'E-InvAT'!C24</f>
        <v>6316828.4174486576</v>
      </c>
      <c r="D6" s="1011">
        <f>'F-IVA'!C17</f>
        <v>817661.04748417693</v>
      </c>
      <c r="E6" s="1011">
        <f>+'E-Form'!E6</f>
        <v>478331.00000531902</v>
      </c>
      <c r="F6" s="1019">
        <f>+(H6-E6)*InfoInicial!$B$4</f>
        <v>2422963.0771545023</v>
      </c>
      <c r="G6" s="1013">
        <f t="shared" si="0"/>
        <v>10185633.542092655</v>
      </c>
      <c r="H6" s="1014">
        <f>'F-CRes'!B11</f>
        <v>7401082.6490181824</v>
      </c>
      <c r="I6" s="1018">
        <f>'Gasto financiero'!C2+'Gasto financiero'!D2</f>
        <v>2084338.2521218637</v>
      </c>
      <c r="J6" s="1018">
        <f>'E-Form'!I6+'Gasto financiero'!B2</f>
        <v>879107.48005799996</v>
      </c>
      <c r="K6" s="1018">
        <f>'F-IVA'!C19</f>
        <v>2948323.4665916879</v>
      </c>
      <c r="L6" s="1012">
        <f t="shared" si="1"/>
        <v>13312851.847789733</v>
      </c>
      <c r="M6" s="1020">
        <f t="shared" ref="M6:M10" si="2">L6-G6</f>
        <v>3127218.3056970779</v>
      </c>
      <c r="N6" s="1021">
        <f>N5+M6</f>
        <v>-8905858.336071007</v>
      </c>
      <c r="O6" s="997"/>
      <c r="P6" s="1066"/>
      <c r="Q6" s="1084"/>
      <c r="R6" s="1083"/>
      <c r="S6" s="919"/>
    </row>
    <row r="7" spans="1:19" ht="15" x14ac:dyDescent="0.2">
      <c r="A7" s="1017">
        <v>2</v>
      </c>
      <c r="B7" s="1010"/>
      <c r="C7" s="1018">
        <f>'E-InvAT'!D24</f>
        <v>379260.84216048941</v>
      </c>
      <c r="D7" s="1011">
        <f>'F-IVA'!D17</f>
        <v>2773.7970740892242</v>
      </c>
      <c r="E7" s="1011">
        <f>+'E-Form'!E7</f>
        <v>587606.45935191773</v>
      </c>
      <c r="F7" s="1019">
        <f>+(H7-E7)*InfoInicial!$B$4</f>
        <v>3149644.8818093841</v>
      </c>
      <c r="G7" s="1013">
        <f t="shared" si="0"/>
        <v>4119285.9803958805</v>
      </c>
      <c r="H7" s="1014">
        <f>'F-CRes'!C11</f>
        <v>9586591.8359501585</v>
      </c>
      <c r="I7" s="1018">
        <f>'Gasto financiero'!C3+'Gasto financiero'!D3</f>
        <v>2084338.2521218637</v>
      </c>
      <c r="J7" s="1018">
        <f>'E-Form'!I7+'Gasto financiero'!B3</f>
        <v>879107.48005799996</v>
      </c>
      <c r="K7" s="1018">
        <f>'F-IVA'!D19</f>
        <v>2773.7970740892242</v>
      </c>
      <c r="L7" s="1012">
        <f t="shared" si="1"/>
        <v>12552811.365204111</v>
      </c>
      <c r="M7" s="1020">
        <f t="shared" si="2"/>
        <v>8433525.3848082311</v>
      </c>
      <c r="N7" s="1021">
        <f>N6+M7</f>
        <v>-472332.95126277581</v>
      </c>
      <c r="O7" s="997"/>
      <c r="P7" s="1066"/>
      <c r="Q7" s="1084"/>
      <c r="R7" s="1083"/>
      <c r="S7" s="198"/>
    </row>
    <row r="8" spans="1:19" ht="15" x14ac:dyDescent="0.2">
      <c r="A8" s="1017">
        <v>3</v>
      </c>
      <c r="B8" s="1010"/>
      <c r="C8" s="1018">
        <f>'E-InvAT'!E24</f>
        <v>-313.18094556592405</v>
      </c>
      <c r="D8" s="1011">
        <f>'F-IVA'!E17</f>
        <v>0</v>
      </c>
      <c r="E8" s="1011">
        <f>+'E-Form'!E8</f>
        <v>587597.51464720373</v>
      </c>
      <c r="F8" s="1019">
        <f>+(H8-E8)*InfoInicial!$B$4</f>
        <v>3196090.338021935</v>
      </c>
      <c r="G8" s="1013">
        <f t="shared" si="0"/>
        <v>3783374.6717235725</v>
      </c>
      <c r="H8" s="1014">
        <f>'F-CRes'!D11</f>
        <v>9719284.1947098766</v>
      </c>
      <c r="I8" s="1018">
        <f>'Gasto financiero'!C4+'Gasto financiero'!D4</f>
        <v>1951466.9992678636</v>
      </c>
      <c r="J8" s="1018">
        <f>'E-Form'!I8+'Gasto financiero'!B4</f>
        <v>879107.48005799996</v>
      </c>
      <c r="K8" s="1018">
        <f>'F-IVA'!E19</f>
        <v>0</v>
      </c>
      <c r="L8" s="1012">
        <f t="shared" si="1"/>
        <v>12549858.674035739</v>
      </c>
      <c r="M8" s="1020">
        <f t="shared" si="2"/>
        <v>8766484.0023121666</v>
      </c>
      <c r="N8" s="1021">
        <f>N7+M8</f>
        <v>8294151.0510493908</v>
      </c>
      <c r="O8" s="997"/>
      <c r="P8" s="1066"/>
      <c r="Q8" s="1084"/>
      <c r="R8" s="1083"/>
      <c r="S8" s="198"/>
    </row>
    <row r="9" spans="1:19" ht="15" x14ac:dyDescent="0.2">
      <c r="A9" s="1017">
        <v>4</v>
      </c>
      <c r="B9" s="1010"/>
      <c r="C9" s="1018">
        <f>'E-InvAT'!F24</f>
        <v>23.20230976678431</v>
      </c>
      <c r="D9" s="1011">
        <f>'F-IVA'!F17</f>
        <v>5.1719156999961706</v>
      </c>
      <c r="E9" s="1011">
        <f>+'E-Form'!E9</f>
        <v>587646.84936181479</v>
      </c>
      <c r="F9" s="1019">
        <f>+(H9-E9)*InfoInicial!$B$4</f>
        <v>3286844.6831775159</v>
      </c>
      <c r="G9" s="1013">
        <f t="shared" si="0"/>
        <v>3874519.9067647974</v>
      </c>
      <c r="H9" s="1014">
        <f>'F-CRes'!E11</f>
        <v>9978631.6584404316</v>
      </c>
      <c r="I9" s="1018">
        <f>'Gasto financiero'!C5+'Gasto financiero'!D5</f>
        <v>1774305.3287958635</v>
      </c>
      <c r="J9" s="1018">
        <f>'E-Form'!I9</f>
        <v>797908.38109166664</v>
      </c>
      <c r="K9" s="1018">
        <f>'F-IVA'!F19</f>
        <v>5.1719156999961706</v>
      </c>
      <c r="L9" s="1012">
        <f t="shared" si="1"/>
        <v>12550850.540243663</v>
      </c>
      <c r="M9" s="1020">
        <f t="shared" si="2"/>
        <v>8676330.633478865</v>
      </c>
      <c r="N9" s="1021">
        <f>N8+M9</f>
        <v>16970481.684528254</v>
      </c>
      <c r="O9" s="997"/>
      <c r="P9" s="1066"/>
      <c r="Q9" s="1084"/>
      <c r="R9" s="1083"/>
      <c r="S9" s="198"/>
    </row>
    <row r="10" spans="1:19" ht="15.75" thickBot="1" x14ac:dyDescent="0.25">
      <c r="A10" s="1022">
        <v>5</v>
      </c>
      <c r="B10" s="1023">
        <f>'E-Form'!B10</f>
        <v>-4314911.3979166662</v>
      </c>
      <c r="C10" s="1024">
        <f>-SUM(C5:C9)</f>
        <v>-8443610.2002589237</v>
      </c>
      <c r="D10" s="1025">
        <f>'F-IVA'!G17</f>
        <v>0</v>
      </c>
      <c r="E10" s="1025">
        <f>+'E-Form'!E10</f>
        <v>587646.91991219099</v>
      </c>
      <c r="F10" s="1026">
        <f>+(H10-E10)*InfoInicial!$B$4</f>
        <v>3348851.7370027173</v>
      </c>
      <c r="G10" s="1027">
        <f t="shared" si="0"/>
        <v>-8822022.9412606806</v>
      </c>
      <c r="H10" s="1028">
        <f>'F-CRes'!F11</f>
        <v>10155794.739919955</v>
      </c>
      <c r="I10" s="1024">
        <f>'Gasto financiero'!C6+'Gasto financiero'!D6</f>
        <v>1597143.6583238635</v>
      </c>
      <c r="J10" s="1018">
        <f>'E-Form'!I10</f>
        <v>797908.38109166664</v>
      </c>
      <c r="K10" s="1024">
        <f>'F-IVA'!G19</f>
        <v>0</v>
      </c>
      <c r="L10" s="1029">
        <f t="shared" si="1"/>
        <v>12550846.779335486</v>
      </c>
      <c r="M10" s="1030">
        <f t="shared" si="2"/>
        <v>21372869.720596164</v>
      </c>
      <c r="N10" s="1105">
        <f>N9+M10</f>
        <v>38343351.405124418</v>
      </c>
      <c r="O10" s="997"/>
      <c r="P10" s="1066"/>
      <c r="Q10" s="1084"/>
      <c r="R10" s="1083"/>
      <c r="S10" s="198"/>
    </row>
    <row r="11" spans="1:19" ht="16.5" thickBot="1" x14ac:dyDescent="0.25">
      <c r="A11" s="1032" t="s">
        <v>241</v>
      </c>
      <c r="B11" s="1102">
        <f>SUM(B5:B10)</f>
        <v>4233139.2023573341</v>
      </c>
      <c r="C11" s="1033">
        <f>SUM(C5:C10)</f>
        <v>0</v>
      </c>
      <c r="D11" s="1104">
        <f>SUM(D5:D10)</f>
        <v>2951102.4355814774</v>
      </c>
      <c r="E11" s="1033">
        <f>+'E-Form'!E11</f>
        <v>2828828.7432784466</v>
      </c>
      <c r="F11" s="1034">
        <f t="shared" ref="F11:M11" si="3">SUM(F5:F10)</f>
        <v>15404394.717166053</v>
      </c>
      <c r="G11" s="1035">
        <f t="shared" si="3"/>
        <v>25417465.098383307</v>
      </c>
      <c r="H11" s="1036">
        <f t="shared" si="3"/>
        <v>46841385.078038603</v>
      </c>
      <c r="I11" s="1037">
        <f t="shared" si="3"/>
        <v>9735189.7875303179</v>
      </c>
      <c r="J11" s="1103">
        <f t="shared" si="3"/>
        <v>4233139.2023573332</v>
      </c>
      <c r="K11" s="1104">
        <f t="shared" si="3"/>
        <v>2951102.4355814774</v>
      </c>
      <c r="L11" s="1034">
        <f t="shared" si="3"/>
        <v>63760816.503507726</v>
      </c>
      <c r="M11" s="1106">
        <f t="shared" si="3"/>
        <v>38343351.405124418</v>
      </c>
      <c r="N11" s="1039"/>
      <c r="O11" s="997"/>
      <c r="P11" s="1060"/>
      <c r="Q11" s="1085"/>
      <c r="R11" s="1083"/>
      <c r="S11" s="196"/>
    </row>
    <row r="12" spans="1:19" ht="15.75" thickBot="1" x14ac:dyDescent="0.25">
      <c r="A12" s="997"/>
      <c r="B12" s="997"/>
      <c r="C12" s="997"/>
      <c r="D12" s="997"/>
      <c r="E12" s="997"/>
      <c r="F12" s="997"/>
      <c r="G12" s="997"/>
      <c r="H12" s="997"/>
      <c r="I12" s="997"/>
      <c r="J12" s="997"/>
      <c r="K12" s="997"/>
      <c r="L12" s="997"/>
      <c r="M12" s="997"/>
      <c r="N12" s="997"/>
      <c r="O12" s="997"/>
      <c r="P12" s="1080"/>
      <c r="Q12" s="1080"/>
      <c r="R12" s="1081"/>
      <c r="S12" s="122"/>
    </row>
    <row r="13" spans="1:19" ht="15" x14ac:dyDescent="0.2">
      <c r="A13" s="997"/>
      <c r="B13" s="997"/>
      <c r="C13" s="1040" t="s">
        <v>842</v>
      </c>
      <c r="D13" s="1041">
        <f>N10</f>
        <v>38343351.405124418</v>
      </c>
      <c r="E13" s="1042"/>
      <c r="F13" s="1043"/>
      <c r="G13" s="997"/>
      <c r="H13" s="997"/>
      <c r="I13" s="997"/>
      <c r="J13" s="997"/>
      <c r="K13" s="997"/>
      <c r="L13" s="997"/>
      <c r="M13" s="997"/>
      <c r="N13" s="997"/>
      <c r="O13" s="997"/>
      <c r="P13" s="997"/>
      <c r="Q13" s="1044"/>
      <c r="R13" s="122"/>
      <c r="S13" s="122"/>
    </row>
    <row r="14" spans="1:19" ht="15.75" thickBot="1" x14ac:dyDescent="0.25">
      <c r="A14" s="997"/>
      <c r="B14" s="997"/>
      <c r="C14" s="1045" t="s">
        <v>840</v>
      </c>
      <c r="D14" s="1046">
        <f>N10-I11</f>
        <v>28608161.617594101</v>
      </c>
      <c r="E14" s="1042"/>
      <c r="F14" s="1043"/>
      <c r="G14" s="997"/>
      <c r="H14" s="997"/>
      <c r="I14" s="997"/>
      <c r="J14" s="997"/>
      <c r="K14" s="997"/>
      <c r="L14" s="997"/>
      <c r="M14" s="997"/>
      <c r="N14" s="997"/>
      <c r="O14" s="1080"/>
      <c r="P14" s="1080"/>
      <c r="Q14" s="1047"/>
      <c r="R14" s="122"/>
      <c r="S14" s="122"/>
    </row>
    <row r="15" spans="1:19" ht="15.75" thickBot="1" x14ac:dyDescent="0.25">
      <c r="A15" s="998"/>
      <c r="B15" s="997"/>
      <c r="C15" s="1045" t="s">
        <v>848</v>
      </c>
      <c r="D15" s="1048">
        <f>2+ABS(N7)/(ABS(N7)+N8)</f>
        <v>2.0538794060581411</v>
      </c>
      <c r="E15" s="1049" t="s">
        <v>849</v>
      </c>
      <c r="F15" s="1089" t="s">
        <v>854</v>
      </c>
      <c r="G15" s="1090"/>
      <c r="H15" s="1090"/>
      <c r="I15" s="1091">
        <f>INT(D15)</f>
        <v>2</v>
      </c>
      <c r="J15" s="1090" t="s">
        <v>855</v>
      </c>
      <c r="K15" s="1091">
        <f>ABS(N7)/(ABS(N7)+N8)*365</f>
        <v>19.665983211221526</v>
      </c>
      <c r="L15" s="1092" t="s">
        <v>856</v>
      </c>
      <c r="M15" s="997"/>
      <c r="N15" s="997"/>
      <c r="O15" s="1086"/>
      <c r="P15" s="1087"/>
      <c r="Q15" s="997"/>
      <c r="R15" s="122"/>
      <c r="S15" s="122"/>
    </row>
    <row r="16" spans="1:19" ht="15.75" thickBot="1" x14ac:dyDescent="0.25">
      <c r="A16" s="997"/>
      <c r="B16" s="997"/>
      <c r="C16" s="1050" t="s">
        <v>850</v>
      </c>
      <c r="D16" s="1051">
        <f>IRR(M5:M10)</f>
        <v>0.53841441857577443</v>
      </c>
      <c r="E16" s="997"/>
      <c r="F16" s="997"/>
      <c r="G16" s="997"/>
      <c r="H16" s="997"/>
      <c r="I16" s="997"/>
      <c r="J16" s="1042"/>
      <c r="K16" s="997"/>
      <c r="L16" s="997"/>
      <c r="M16" s="997"/>
      <c r="N16" s="997"/>
      <c r="O16" s="1080"/>
      <c r="P16" s="1080"/>
      <c r="Q16" s="997"/>
      <c r="R16" s="122"/>
      <c r="S16" s="122"/>
    </row>
    <row r="17" spans="1:19" ht="15" x14ac:dyDescent="0.2">
      <c r="A17" s="1052"/>
      <c r="B17" s="1053"/>
      <c r="C17" s="1053"/>
      <c r="D17" s="1053"/>
      <c r="E17" s="1053"/>
      <c r="F17" s="1054"/>
      <c r="G17" s="1055"/>
      <c r="H17" s="1055"/>
      <c r="I17" s="1055"/>
      <c r="J17" s="1053"/>
      <c r="K17" s="1055"/>
      <c r="L17" s="1055"/>
      <c r="M17" s="1055"/>
      <c r="N17" s="1055"/>
      <c r="O17" s="1088"/>
      <c r="P17" s="1080"/>
      <c r="Q17" s="997"/>
      <c r="R17" s="122"/>
      <c r="S17" s="122"/>
    </row>
    <row r="18" spans="1:19" ht="15" x14ac:dyDescent="0.2">
      <c r="A18" s="1056"/>
      <c r="B18" s="1055"/>
      <c r="C18" s="1057"/>
      <c r="D18" s="1055"/>
      <c r="E18" s="1055"/>
      <c r="F18" s="1055"/>
      <c r="G18" s="1055"/>
      <c r="H18" s="1055"/>
      <c r="I18" s="1055"/>
      <c r="J18" s="1055"/>
      <c r="K18" s="1055"/>
      <c r="L18" s="1055"/>
      <c r="M18" s="1055"/>
      <c r="N18" s="1055"/>
      <c r="O18" s="997"/>
      <c r="P18" s="997"/>
      <c r="Q18" s="997"/>
      <c r="R18" s="122"/>
      <c r="S18" s="122"/>
    </row>
    <row r="19" spans="1:19" ht="15" x14ac:dyDescent="0.2">
      <c r="A19" s="997"/>
      <c r="B19" s="997"/>
      <c r="C19" s="997"/>
      <c r="D19" s="997"/>
      <c r="E19" s="997"/>
      <c r="F19" s="997"/>
      <c r="G19" s="997"/>
      <c r="H19" s="997"/>
      <c r="I19" s="997"/>
      <c r="J19" s="997"/>
      <c r="K19" s="997"/>
      <c r="L19" s="997"/>
      <c r="M19" s="997"/>
      <c r="N19" s="997"/>
      <c r="O19" s="997"/>
      <c r="P19" s="997"/>
      <c r="Q19" s="997"/>
      <c r="R19" s="122"/>
      <c r="S19" s="122"/>
    </row>
    <row r="20" spans="1:19" ht="15" x14ac:dyDescent="0.2">
      <c r="A20" s="999"/>
      <c r="B20" s="997"/>
      <c r="C20" s="997"/>
      <c r="D20" s="997"/>
      <c r="E20" s="997"/>
      <c r="F20" s="997"/>
      <c r="G20" s="997"/>
      <c r="H20" s="997"/>
      <c r="I20" s="997"/>
      <c r="J20" s="997"/>
      <c r="K20" s="997"/>
      <c r="L20" s="997"/>
      <c r="M20" s="997"/>
      <c r="N20" s="997"/>
      <c r="O20" s="997"/>
      <c r="P20" s="997"/>
      <c r="Q20" s="997"/>
      <c r="R20" s="122"/>
      <c r="S20" s="122"/>
    </row>
    <row r="21" spans="1:19" ht="15.75" thickBot="1" x14ac:dyDescent="0.25">
      <c r="A21" s="999" t="s">
        <v>365</v>
      </c>
      <c r="B21" s="1000"/>
      <c r="C21" s="1000"/>
      <c r="D21" s="1000"/>
      <c r="E21" s="1000"/>
      <c r="F21" s="1000"/>
      <c r="G21" s="1000"/>
      <c r="H21" s="1000"/>
      <c r="I21" s="997"/>
      <c r="J21" s="1080"/>
      <c r="K21" s="1080"/>
      <c r="L21" s="997"/>
      <c r="M21" s="997"/>
      <c r="N21" s="997"/>
      <c r="O21" s="997"/>
      <c r="P21" s="997"/>
      <c r="Q21" s="997"/>
      <c r="R21" s="122"/>
      <c r="S21" s="122"/>
    </row>
    <row r="22" spans="1:19" ht="39" thickBot="1" x14ac:dyDescent="0.25">
      <c r="A22" s="1001" t="s">
        <v>230</v>
      </c>
      <c r="B22" s="1006" t="s">
        <v>366</v>
      </c>
      <c r="C22" s="1005" t="s">
        <v>235</v>
      </c>
      <c r="D22" s="1058" t="s">
        <v>326</v>
      </c>
      <c r="E22" s="1004" t="s">
        <v>367</v>
      </c>
      <c r="F22" s="1005" t="s">
        <v>238</v>
      </c>
      <c r="G22" s="1059" t="s">
        <v>239</v>
      </c>
      <c r="H22" s="1007" t="s">
        <v>240</v>
      </c>
      <c r="I22" s="1008"/>
      <c r="J22" s="1008"/>
      <c r="K22" s="1008"/>
      <c r="L22" s="1008"/>
      <c r="M22" s="1008"/>
      <c r="N22" s="1008"/>
      <c r="O22" s="1008"/>
      <c r="P22" s="1008"/>
      <c r="Q22" s="1008"/>
      <c r="R22" s="173"/>
      <c r="S22" s="173"/>
    </row>
    <row r="23" spans="1:19" ht="15" x14ac:dyDescent="0.2">
      <c r="A23" s="1062">
        <v>0</v>
      </c>
      <c r="B23" s="1015">
        <f>'F- CFyU'!B7</f>
        <v>8954892.6173170842</v>
      </c>
      <c r="C23" s="1063">
        <f>B23</f>
        <v>8954892.6173170842</v>
      </c>
      <c r="D23" s="1064">
        <v>0</v>
      </c>
      <c r="E23" s="1065">
        <f>'F- CFyU'!B28</f>
        <v>0</v>
      </c>
      <c r="F23" s="1063">
        <f t="shared" ref="F23:F28" si="4">E23</f>
        <v>0</v>
      </c>
      <c r="G23" s="1015">
        <f t="shared" ref="G23:G28" si="5">F23-C23</f>
        <v>-8954892.6173170842</v>
      </c>
      <c r="H23" s="1016">
        <f>G23</f>
        <v>-8954892.6173170842</v>
      </c>
      <c r="I23" s="1008"/>
      <c r="J23" s="1008"/>
      <c r="K23" s="1008"/>
      <c r="L23" s="1008"/>
      <c r="M23" s="1008"/>
      <c r="N23" s="1008"/>
      <c r="O23" s="1008"/>
      <c r="P23" s="1008"/>
      <c r="Q23" s="997"/>
      <c r="R23" s="122"/>
      <c r="S23" s="122"/>
    </row>
    <row r="24" spans="1:19" ht="15" x14ac:dyDescent="0.2">
      <c r="A24" s="1017">
        <v>1</v>
      </c>
      <c r="B24" s="1067">
        <f>'F- CFyU'!C7</f>
        <v>3219698.4837697465</v>
      </c>
      <c r="C24" s="1068">
        <f>B24</f>
        <v>3219698.4837697465</v>
      </c>
      <c r="D24" s="1069">
        <v>0</v>
      </c>
      <c r="E24" s="1019">
        <f>'F- CFyU'!C28</f>
        <v>8144711.639109619</v>
      </c>
      <c r="F24" s="1013">
        <f>E24</f>
        <v>8144711.639109619</v>
      </c>
      <c r="G24" s="1020">
        <f t="shared" si="5"/>
        <v>4925013.1553398725</v>
      </c>
      <c r="H24" s="1021">
        <f>H23+G24</f>
        <v>-4029879.4619772118</v>
      </c>
      <c r="I24" s="1008"/>
      <c r="J24" s="1008"/>
      <c r="K24" s="1008"/>
      <c r="L24" s="1008"/>
      <c r="M24" s="1008"/>
      <c r="N24" s="1008"/>
      <c r="O24" s="1008"/>
      <c r="P24" s="1008"/>
      <c r="Q24" s="997"/>
      <c r="R24" s="122"/>
      <c r="S24" s="122"/>
    </row>
    <row r="25" spans="1:19" ht="15" x14ac:dyDescent="0.2">
      <c r="A25" s="1017">
        <v>2</v>
      </c>
      <c r="B25" s="1067">
        <v>0</v>
      </c>
      <c r="C25" s="1068">
        <v>0</v>
      </c>
      <c r="D25" s="1069">
        <v>0</v>
      </c>
      <c r="E25" s="1019">
        <f>'F- CFyU'!D28</f>
        <v>5795556.9124613665</v>
      </c>
      <c r="F25" s="1013">
        <f>E25</f>
        <v>5795556.9124613665</v>
      </c>
      <c r="G25" s="1020">
        <f t="shared" si="5"/>
        <v>5795556.9124613665</v>
      </c>
      <c r="H25" s="1021">
        <f>H24+G25</f>
        <v>1765677.4504841547</v>
      </c>
      <c r="I25" s="1008"/>
      <c r="J25" s="1008"/>
      <c r="K25" s="1008"/>
      <c r="L25" s="1008"/>
      <c r="M25" s="1008"/>
      <c r="N25" s="1008"/>
      <c r="O25" s="1008"/>
      <c r="P25" s="1008"/>
      <c r="Q25" s="997"/>
      <c r="R25" s="122"/>
      <c r="S25" s="122"/>
    </row>
    <row r="26" spans="1:19" ht="15" x14ac:dyDescent="0.2">
      <c r="A26" s="1017">
        <v>3</v>
      </c>
      <c r="B26" s="1067">
        <v>0</v>
      </c>
      <c r="C26" s="1068">
        <v>0</v>
      </c>
      <c r="D26" s="1069">
        <v>0</v>
      </c>
      <c r="E26" s="1019">
        <f>'F- CFyU'!E28</f>
        <v>5707756.5625942983</v>
      </c>
      <c r="F26" s="1013">
        <f t="shared" si="4"/>
        <v>5707756.5625942983</v>
      </c>
      <c r="G26" s="1020">
        <f t="shared" si="5"/>
        <v>5707756.5625942983</v>
      </c>
      <c r="H26" s="1021">
        <f>H25+G26</f>
        <v>7473434.013078453</v>
      </c>
      <c r="I26" s="1008"/>
      <c r="J26" s="1008"/>
      <c r="K26" s="1008"/>
      <c r="L26" s="1008"/>
      <c r="M26" s="1008"/>
      <c r="N26" s="1008"/>
      <c r="O26" s="1008"/>
      <c r="P26" s="1008"/>
      <c r="Q26" s="997"/>
      <c r="R26" s="122"/>
      <c r="S26" s="122"/>
    </row>
    <row r="27" spans="1:19" ht="15" x14ac:dyDescent="0.2">
      <c r="A27" s="1017">
        <v>4</v>
      </c>
      <c r="B27" s="1067">
        <v>0</v>
      </c>
      <c r="C27" s="1068">
        <v>0</v>
      </c>
      <c r="D27" s="1069">
        <v>0</v>
      </c>
      <c r="E27" s="1019">
        <f>'F- CFyU'!F28</f>
        <v>5794764.8642329983</v>
      </c>
      <c r="F27" s="1013">
        <f t="shared" si="4"/>
        <v>5794764.8642329983</v>
      </c>
      <c r="G27" s="1020">
        <f t="shared" si="5"/>
        <v>5794764.8642329983</v>
      </c>
      <c r="H27" s="1021">
        <f>H26+G27</f>
        <v>13268198.877311451</v>
      </c>
      <c r="I27" s="1008"/>
      <c r="J27" s="1008"/>
      <c r="K27" s="1008"/>
      <c r="L27" s="1008"/>
      <c r="M27" s="1008"/>
      <c r="N27" s="1008"/>
      <c r="O27" s="1008"/>
      <c r="P27" s="1008"/>
      <c r="Q27" s="997"/>
      <c r="R27" s="122"/>
      <c r="S27" s="122"/>
    </row>
    <row r="28" spans="1:19" ht="15.75" thickBot="1" x14ac:dyDescent="0.25">
      <c r="A28" s="1070">
        <v>5</v>
      </c>
      <c r="B28" s="1071">
        <f>B10+C10+'Servicio de CR'!C51</f>
        <v>-8876388.4964109305</v>
      </c>
      <c r="C28" s="1072">
        <f>B28</f>
        <v>-8876388.4964109305</v>
      </c>
      <c r="D28" s="1073">
        <v>0</v>
      </c>
      <c r="E28" s="1074">
        <f>'F- CFyU'!G28</f>
        <v>6463574.2438717112</v>
      </c>
      <c r="F28" s="1075">
        <f t="shared" si="4"/>
        <v>6463574.2438717112</v>
      </c>
      <c r="G28" s="1030">
        <f t="shared" si="5"/>
        <v>15339962.740282642</v>
      </c>
      <c r="H28" s="1031">
        <f>H27+G28</f>
        <v>28608161.617594093</v>
      </c>
      <c r="I28" s="1008"/>
      <c r="J28" s="1008"/>
      <c r="K28" s="1008"/>
      <c r="L28" s="1008"/>
      <c r="M28" s="1008"/>
      <c r="N28" s="1008"/>
      <c r="O28" s="1008"/>
      <c r="P28" s="1008"/>
      <c r="Q28" s="997"/>
      <c r="R28" s="122"/>
      <c r="S28" s="122"/>
    </row>
    <row r="29" spans="1:19" ht="15.75" thickBot="1" x14ac:dyDescent="0.25">
      <c r="A29" s="1076" t="s">
        <v>241</v>
      </c>
      <c r="B29" s="1030">
        <f>SUM(B23:B28)</f>
        <v>3298202.6046759002</v>
      </c>
      <c r="C29" s="1075">
        <f>SUM(C23:C28)</f>
        <v>3298202.6046759002</v>
      </c>
      <c r="D29" s="1073">
        <v>0</v>
      </c>
      <c r="E29" s="1077">
        <f>SUM(E23:E28)</f>
        <v>31906364.222269993</v>
      </c>
      <c r="F29" s="1075">
        <f>SUM(F23:F28)</f>
        <v>31906364.222269993</v>
      </c>
      <c r="G29" s="1038">
        <f>SUM(G23:G28)</f>
        <v>28608161.617594093</v>
      </c>
      <c r="H29" s="1039"/>
      <c r="I29" s="1008"/>
      <c r="J29" s="1008"/>
      <c r="K29" s="1008"/>
      <c r="L29" s="1008"/>
      <c r="M29" s="1008"/>
      <c r="N29" s="1008"/>
      <c r="O29" s="1008"/>
      <c r="P29" s="1008"/>
      <c r="Q29" s="997"/>
      <c r="R29" s="122"/>
      <c r="S29" s="122"/>
    </row>
    <row r="30" spans="1:19" ht="15" x14ac:dyDescent="0.2">
      <c r="A30" s="997"/>
      <c r="B30" s="997"/>
      <c r="C30" s="997"/>
      <c r="D30" s="997"/>
      <c r="E30" s="997"/>
      <c r="F30" s="997"/>
      <c r="G30" s="997"/>
      <c r="H30" s="997"/>
      <c r="I30" s="997"/>
      <c r="J30" s="1080"/>
      <c r="K30" s="1080"/>
      <c r="L30" s="997"/>
      <c r="M30" s="997"/>
      <c r="N30" s="997"/>
      <c r="O30" s="997"/>
      <c r="P30" s="997"/>
      <c r="Q30" s="997"/>
      <c r="R30" s="122"/>
      <c r="S30" s="122"/>
    </row>
    <row r="31" spans="1:19" ht="15.75" thickBot="1" x14ac:dyDescent="0.25">
      <c r="A31" s="997"/>
      <c r="B31" s="997"/>
      <c r="C31" s="997"/>
      <c r="D31" s="997"/>
      <c r="E31" s="997"/>
      <c r="F31" s="997"/>
      <c r="G31" s="997"/>
      <c r="H31" s="997"/>
      <c r="I31" s="997"/>
      <c r="J31" s="997"/>
      <c r="K31" s="997"/>
      <c r="L31" s="997"/>
      <c r="M31" s="997"/>
      <c r="N31" s="997"/>
      <c r="O31" s="997"/>
      <c r="P31" s="997"/>
      <c r="Q31" s="997"/>
      <c r="R31" s="122"/>
      <c r="S31" s="122"/>
    </row>
    <row r="32" spans="1:19" ht="15.75" thickBot="1" x14ac:dyDescent="0.25">
      <c r="A32" s="997"/>
      <c r="B32" s="997"/>
      <c r="C32" s="1040" t="s">
        <v>840</v>
      </c>
      <c r="D32" s="1041">
        <f>H28</f>
        <v>28608161.617594093</v>
      </c>
      <c r="E32" s="997"/>
      <c r="F32" s="1078"/>
      <c r="G32" s="997"/>
      <c r="H32" s="997"/>
      <c r="I32" s="997"/>
      <c r="J32" s="997"/>
      <c r="K32" s="997"/>
      <c r="L32" s="997"/>
      <c r="M32" s="997"/>
      <c r="N32" s="997"/>
      <c r="O32" s="997"/>
      <c r="P32" s="997"/>
      <c r="Q32" s="997"/>
      <c r="R32" s="122"/>
      <c r="S32" s="122"/>
    </row>
    <row r="33" spans="1:19" ht="15.75" thickBot="1" x14ac:dyDescent="0.25">
      <c r="A33" s="997"/>
      <c r="B33" s="997"/>
      <c r="C33" s="1045" t="s">
        <v>851</v>
      </c>
      <c r="D33" s="1079">
        <f>1+ABS(H24)/(ABS(H24)+H25)</f>
        <v>1.6953394682937772</v>
      </c>
      <c r="E33" s="1049" t="s">
        <v>849</v>
      </c>
      <c r="F33" s="1089" t="s">
        <v>857</v>
      </c>
      <c r="G33" s="1090"/>
      <c r="H33" s="1090"/>
      <c r="I33" s="1090"/>
      <c r="J33" s="1094">
        <f>INT(D33)</f>
        <v>1</v>
      </c>
      <c r="K33" s="1090" t="s">
        <v>858</v>
      </c>
      <c r="L33" s="1093">
        <f>ABS(H24)/(ABS(H24)+H25)*365</f>
        <v>253.7989059272287</v>
      </c>
      <c r="M33" s="1092" t="s">
        <v>856</v>
      </c>
      <c r="N33" s="997"/>
      <c r="O33" s="997"/>
      <c r="P33" s="997"/>
      <c r="Q33" s="997"/>
      <c r="R33" s="122"/>
      <c r="S33" s="122"/>
    </row>
    <row r="34" spans="1:19" ht="15.75" thickBot="1" x14ac:dyDescent="0.25">
      <c r="A34" s="997"/>
      <c r="B34" s="997"/>
      <c r="C34" s="1050" t="s">
        <v>368</v>
      </c>
      <c r="D34" s="1051">
        <f>IRR(G23:G28)</f>
        <v>0.60914232274778057</v>
      </c>
      <c r="E34" s="997"/>
      <c r="F34" s="997"/>
      <c r="G34" s="997"/>
      <c r="H34" s="997"/>
      <c r="I34" s="997"/>
      <c r="J34" s="997"/>
      <c r="K34" s="997"/>
      <c r="L34" s="997"/>
      <c r="M34" s="997"/>
      <c r="N34" s="997"/>
      <c r="O34" s="997"/>
      <c r="P34" s="997"/>
      <c r="Q34" s="997"/>
      <c r="R34" s="122"/>
      <c r="S34" s="122"/>
    </row>
    <row r="35" spans="1:19" ht="15" x14ac:dyDescent="0.2">
      <c r="A35" s="997"/>
      <c r="B35" s="997"/>
      <c r="C35" s="997"/>
      <c r="D35" s="997"/>
      <c r="E35" s="997"/>
      <c r="F35" s="997"/>
      <c r="G35" s="997"/>
      <c r="H35" s="997"/>
      <c r="I35" s="997"/>
      <c r="J35" s="997"/>
      <c r="K35" s="997"/>
      <c r="L35" s="997"/>
      <c r="M35" s="997"/>
      <c r="N35" s="997"/>
      <c r="O35" s="997"/>
      <c r="P35" s="997"/>
      <c r="Q35" s="997"/>
      <c r="R35" s="122"/>
      <c r="S35" s="122"/>
    </row>
    <row r="36" spans="1:19" ht="15" x14ac:dyDescent="0.2">
      <c r="A36" s="997"/>
      <c r="B36" s="997"/>
      <c r="C36" s="997"/>
      <c r="D36" s="997"/>
      <c r="E36" s="997"/>
      <c r="F36" s="997"/>
      <c r="G36" s="997"/>
      <c r="H36" s="997"/>
      <c r="I36" s="997"/>
      <c r="J36" s="997"/>
      <c r="K36" s="997"/>
      <c r="L36" s="997"/>
      <c r="M36" s="997"/>
      <c r="N36" s="997"/>
      <c r="O36" s="997"/>
      <c r="P36" s="997"/>
      <c r="Q36" s="997"/>
      <c r="R36" s="122"/>
      <c r="S36" s="122"/>
    </row>
    <row r="37" spans="1:19" ht="15" x14ac:dyDescent="0.2">
      <c r="A37" s="997"/>
      <c r="B37" s="997"/>
      <c r="C37" s="997"/>
      <c r="D37" s="997"/>
      <c r="E37" s="997"/>
      <c r="F37" s="997"/>
      <c r="G37" s="997"/>
      <c r="H37" s="997"/>
      <c r="I37" s="997"/>
      <c r="J37" s="997"/>
      <c r="K37" s="997"/>
      <c r="L37" s="997"/>
      <c r="M37" s="997"/>
      <c r="N37" s="997"/>
      <c r="O37" s="997"/>
      <c r="P37" s="997"/>
      <c r="Q37" s="997"/>
      <c r="R37" s="122"/>
      <c r="S37" s="122"/>
    </row>
    <row r="38" spans="1:19" ht="15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</row>
    <row r="39" spans="1:19" ht="15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</row>
    <row r="40" spans="1:19" ht="15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</row>
    <row r="41" spans="1:19" ht="15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</row>
    <row r="42" spans="1:19" ht="15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</row>
    <row r="43" spans="1:19" ht="15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</row>
    <row r="44" spans="1:19" ht="15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</row>
    <row r="45" spans="1:19" ht="15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</row>
    <row r="46" spans="1:19" ht="15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</row>
    <row r="72" spans="1:12" x14ac:dyDescent="0.2">
      <c r="A72" s="1122" t="s">
        <v>864</v>
      </c>
      <c r="B72" s="1122" t="s">
        <v>862</v>
      </c>
      <c r="C72" s="1122" t="s">
        <v>863</v>
      </c>
      <c r="D72" s="1122" t="s">
        <v>867</v>
      </c>
      <c r="E72" s="1122" t="s">
        <v>866</v>
      </c>
      <c r="F72" s="1122" t="s">
        <v>865</v>
      </c>
      <c r="G72" s="1122"/>
      <c r="H72" s="1122" t="s">
        <v>868</v>
      </c>
      <c r="I72" s="1122"/>
    </row>
    <row r="73" spans="1:12" x14ac:dyDescent="0.2">
      <c r="A73" s="1126">
        <v>0</v>
      </c>
      <c r="B73" s="1124">
        <f>G29</f>
        <v>28608161.617594093</v>
      </c>
      <c r="C73" s="1124">
        <f>M11</f>
        <v>38343351.405124418</v>
      </c>
      <c r="D73" s="1124">
        <f>B73+F73</f>
        <v>37563054.234911174</v>
      </c>
      <c r="E73" s="1125">
        <f>D73</f>
        <v>37563054.234911174</v>
      </c>
      <c r="F73" s="1124">
        <f>'F-Balance'!$B$34</f>
        <v>8954892.6173170842</v>
      </c>
      <c r="G73" s="1122">
        <v>0</v>
      </c>
      <c r="H73" s="1130">
        <f>InfoInicial!B35</f>
        <v>0.16</v>
      </c>
      <c r="I73" s="1122"/>
    </row>
    <row r="74" spans="1:12" x14ac:dyDescent="0.2">
      <c r="A74" s="1127">
        <v>0.01</v>
      </c>
      <c r="B74" s="1125">
        <f>B73-($B$73/61)</f>
        <v>28139175.361567959</v>
      </c>
      <c r="C74" s="1125">
        <f>C73-($C$73/54)</f>
        <v>37633289.342066556</v>
      </c>
      <c r="D74" s="1124">
        <f t="shared" ref="D74:D137" si="6">B74+F74</f>
        <v>37094067.97888504</v>
      </c>
      <c r="E74" s="1125">
        <f>E73</f>
        <v>37563054.234911174</v>
      </c>
      <c r="F74" s="1125">
        <f>F73</f>
        <v>8954892.6173170842</v>
      </c>
      <c r="G74" s="1123">
        <f t="shared" ref="G74:G137" si="7">G75-($G$143/70)</f>
        <v>571428.57142855728</v>
      </c>
      <c r="H74" s="1129">
        <f>H73</f>
        <v>0.16</v>
      </c>
      <c r="I74" s="1124"/>
      <c r="J74" s="1124"/>
      <c r="K74" s="1125"/>
      <c r="L74" s="1124"/>
    </row>
    <row r="75" spans="1:12" x14ac:dyDescent="0.2">
      <c r="A75" s="1127">
        <v>0.02</v>
      </c>
      <c r="B75" s="1125">
        <f t="shared" ref="B75:B138" si="8">B74-($B$73/61)</f>
        <v>27670189.105541825</v>
      </c>
      <c r="C75" s="1125">
        <f t="shared" ref="C75:C138" si="9">C74-($C$73/54)</f>
        <v>36923227.279008694</v>
      </c>
      <c r="D75" s="1124">
        <f t="shared" si="6"/>
        <v>36625081.722858906</v>
      </c>
      <c r="E75" s="1125">
        <f t="shared" ref="E75:E138" si="10">E74</f>
        <v>37563054.234911174</v>
      </c>
      <c r="F75" s="1125">
        <f t="shared" ref="F75:F138" si="11">F74</f>
        <v>8954892.6173170842</v>
      </c>
      <c r="G75" s="1123">
        <f t="shared" si="7"/>
        <v>1142857.1428571288</v>
      </c>
      <c r="H75" s="1129">
        <f t="shared" ref="H75:H138" si="12">H74</f>
        <v>0.16</v>
      </c>
    </row>
    <row r="76" spans="1:12" x14ac:dyDescent="0.2">
      <c r="A76" s="1127">
        <v>0.03</v>
      </c>
      <c r="B76" s="1125">
        <f t="shared" si="8"/>
        <v>27201202.849515691</v>
      </c>
      <c r="C76" s="1125">
        <f t="shared" si="9"/>
        <v>36213165.215950832</v>
      </c>
      <c r="D76" s="1124">
        <f t="shared" si="6"/>
        <v>36156095.466832772</v>
      </c>
      <c r="E76" s="1125">
        <f t="shared" si="10"/>
        <v>37563054.234911174</v>
      </c>
      <c r="F76" s="1125">
        <f t="shared" si="11"/>
        <v>8954892.6173170842</v>
      </c>
      <c r="G76" s="1123">
        <f t="shared" si="7"/>
        <v>1714285.7142857001</v>
      </c>
      <c r="H76" s="1129">
        <f t="shared" si="12"/>
        <v>0.16</v>
      </c>
      <c r="I76" s="1122"/>
    </row>
    <row r="77" spans="1:12" x14ac:dyDescent="0.2">
      <c r="A77" s="1127">
        <v>0.04</v>
      </c>
      <c r="B77" s="1125">
        <f t="shared" si="8"/>
        <v>26732216.593489558</v>
      </c>
      <c r="C77" s="1125">
        <f t="shared" si="9"/>
        <v>35503103.15289297</v>
      </c>
      <c r="D77" s="1124">
        <f t="shared" si="6"/>
        <v>35687109.210806638</v>
      </c>
      <c r="E77" s="1125">
        <f t="shared" si="10"/>
        <v>37563054.234911174</v>
      </c>
      <c r="F77" s="1125">
        <f t="shared" si="11"/>
        <v>8954892.6173170842</v>
      </c>
      <c r="G77" s="1123">
        <f t="shared" si="7"/>
        <v>2285714.2857142715</v>
      </c>
      <c r="H77" s="1129">
        <f t="shared" si="12"/>
        <v>0.16</v>
      </c>
      <c r="I77" s="1122"/>
    </row>
    <row r="78" spans="1:12" x14ac:dyDescent="0.2">
      <c r="A78" s="1127">
        <v>0.05</v>
      </c>
      <c r="B78" s="1125">
        <f t="shared" si="8"/>
        <v>26263230.337463424</v>
      </c>
      <c r="C78" s="1125">
        <f t="shared" si="9"/>
        <v>34793041.089835107</v>
      </c>
      <c r="D78" s="1124">
        <f t="shared" si="6"/>
        <v>35218122.954780504</v>
      </c>
      <c r="E78" s="1125">
        <f t="shared" si="10"/>
        <v>37563054.234911174</v>
      </c>
      <c r="F78" s="1125">
        <f t="shared" si="11"/>
        <v>8954892.6173170842</v>
      </c>
      <c r="G78" s="1123">
        <f t="shared" si="7"/>
        <v>2857142.8571428428</v>
      </c>
      <c r="H78" s="1129">
        <f t="shared" si="12"/>
        <v>0.16</v>
      </c>
      <c r="I78" s="1122"/>
    </row>
    <row r="79" spans="1:12" x14ac:dyDescent="0.2">
      <c r="A79" s="1127">
        <v>0.06</v>
      </c>
      <c r="B79" s="1125">
        <f t="shared" si="8"/>
        <v>25794244.08143729</v>
      </c>
      <c r="C79" s="1125">
        <f t="shared" si="9"/>
        <v>34082979.026777245</v>
      </c>
      <c r="D79" s="1124">
        <f t="shared" si="6"/>
        <v>34749136.69875437</v>
      </c>
      <c r="E79" s="1125">
        <f t="shared" si="10"/>
        <v>37563054.234911174</v>
      </c>
      <c r="F79" s="1125">
        <f t="shared" si="11"/>
        <v>8954892.6173170842</v>
      </c>
      <c r="G79" s="1123">
        <f t="shared" si="7"/>
        <v>3428571.4285714142</v>
      </c>
      <c r="H79" s="1129">
        <f t="shared" si="12"/>
        <v>0.16</v>
      </c>
      <c r="I79" s="1122"/>
    </row>
    <row r="80" spans="1:12" x14ac:dyDescent="0.2">
      <c r="A80" s="1127">
        <v>7.0000000000000007E-2</v>
      </c>
      <c r="B80" s="1125">
        <f t="shared" si="8"/>
        <v>25325257.825411156</v>
      </c>
      <c r="C80" s="1125">
        <f t="shared" si="9"/>
        <v>33372916.963719387</v>
      </c>
      <c r="D80" s="1124">
        <f t="shared" si="6"/>
        <v>34280150.442728236</v>
      </c>
      <c r="E80" s="1125">
        <f t="shared" si="10"/>
        <v>37563054.234911174</v>
      </c>
      <c r="F80" s="1125">
        <f t="shared" si="11"/>
        <v>8954892.6173170842</v>
      </c>
      <c r="G80" s="1123">
        <f t="shared" si="7"/>
        <v>3999999.9999999856</v>
      </c>
      <c r="H80" s="1129">
        <f t="shared" si="12"/>
        <v>0.16</v>
      </c>
      <c r="I80" s="1122"/>
    </row>
    <row r="81" spans="1:9" x14ac:dyDescent="0.2">
      <c r="A81" s="1127">
        <v>0.08</v>
      </c>
      <c r="B81" s="1125">
        <f t="shared" si="8"/>
        <v>24856271.569385022</v>
      </c>
      <c r="C81" s="1125">
        <f t="shared" si="9"/>
        <v>32662854.900661528</v>
      </c>
      <c r="D81" s="1124">
        <f t="shared" si="6"/>
        <v>33811164.186702102</v>
      </c>
      <c r="E81" s="1125">
        <f t="shared" si="10"/>
        <v>37563054.234911174</v>
      </c>
      <c r="F81" s="1125">
        <f t="shared" si="11"/>
        <v>8954892.6173170842</v>
      </c>
      <c r="G81" s="1123">
        <f t="shared" si="7"/>
        <v>4571428.5714285569</v>
      </c>
      <c r="H81" s="1129">
        <f t="shared" si="12"/>
        <v>0.16</v>
      </c>
      <c r="I81" s="1122"/>
    </row>
    <row r="82" spans="1:9" x14ac:dyDescent="0.2">
      <c r="A82" s="1127">
        <v>0.09</v>
      </c>
      <c r="B82" s="1125">
        <f t="shared" si="8"/>
        <v>24387285.313358888</v>
      </c>
      <c r="C82" s="1125">
        <f t="shared" si="9"/>
        <v>31952792.83760367</v>
      </c>
      <c r="D82" s="1124">
        <f t="shared" si="6"/>
        <v>33342177.930675972</v>
      </c>
      <c r="E82" s="1125">
        <f t="shared" si="10"/>
        <v>37563054.234911174</v>
      </c>
      <c r="F82" s="1125">
        <f t="shared" si="11"/>
        <v>8954892.6173170842</v>
      </c>
      <c r="G82" s="1123">
        <f t="shared" si="7"/>
        <v>5142857.1428571288</v>
      </c>
      <c r="H82" s="1129">
        <f t="shared" si="12"/>
        <v>0.16</v>
      </c>
      <c r="I82" s="1122"/>
    </row>
    <row r="83" spans="1:9" x14ac:dyDescent="0.2">
      <c r="A83" s="1127">
        <v>0.1</v>
      </c>
      <c r="B83" s="1125">
        <f t="shared" si="8"/>
        <v>23918299.057332754</v>
      </c>
      <c r="C83" s="1125">
        <f t="shared" si="9"/>
        <v>31242730.774545811</v>
      </c>
      <c r="D83" s="1124">
        <f t="shared" si="6"/>
        <v>32873191.674649838</v>
      </c>
      <c r="E83" s="1125">
        <f t="shared" si="10"/>
        <v>37563054.234911174</v>
      </c>
      <c r="F83" s="1125">
        <f t="shared" si="11"/>
        <v>8954892.6173170842</v>
      </c>
      <c r="G83" s="1123">
        <f t="shared" si="7"/>
        <v>5714285.7142857006</v>
      </c>
      <c r="H83" s="1129">
        <f t="shared" si="12"/>
        <v>0.16</v>
      </c>
      <c r="I83" s="1122"/>
    </row>
    <row r="84" spans="1:9" x14ac:dyDescent="0.2">
      <c r="A84" s="1127">
        <v>0.11</v>
      </c>
      <c r="B84" s="1125">
        <f t="shared" si="8"/>
        <v>23449312.80130662</v>
      </c>
      <c r="C84" s="1125">
        <f t="shared" si="9"/>
        <v>30532668.711487953</v>
      </c>
      <c r="D84" s="1124">
        <f t="shared" si="6"/>
        <v>32404205.418623704</v>
      </c>
      <c r="E84" s="1125">
        <f t="shared" si="10"/>
        <v>37563054.234911174</v>
      </c>
      <c r="F84" s="1125">
        <f t="shared" si="11"/>
        <v>8954892.6173170842</v>
      </c>
      <c r="G84" s="1123">
        <f t="shared" si="7"/>
        <v>6285714.2857142724</v>
      </c>
      <c r="H84" s="1129">
        <f t="shared" si="12"/>
        <v>0.16</v>
      </c>
      <c r="I84" s="1122"/>
    </row>
    <row r="85" spans="1:9" x14ac:dyDescent="0.2">
      <c r="A85" s="1127">
        <v>0.12</v>
      </c>
      <c r="B85" s="1125">
        <f t="shared" si="8"/>
        <v>22980326.545280486</v>
      </c>
      <c r="C85" s="1125">
        <f t="shared" si="9"/>
        <v>29822606.648430094</v>
      </c>
      <c r="D85" s="1124">
        <f t="shared" si="6"/>
        <v>31935219.162597571</v>
      </c>
      <c r="E85" s="1125">
        <f t="shared" si="10"/>
        <v>37563054.234911174</v>
      </c>
      <c r="F85" s="1125">
        <f t="shared" si="11"/>
        <v>8954892.6173170842</v>
      </c>
      <c r="G85" s="1123">
        <f t="shared" si="7"/>
        <v>6857142.8571428442</v>
      </c>
      <c r="H85" s="1129">
        <f t="shared" si="12"/>
        <v>0.16</v>
      </c>
      <c r="I85" s="1122"/>
    </row>
    <row r="86" spans="1:9" x14ac:dyDescent="0.2">
      <c r="A86" s="1127">
        <v>0.13</v>
      </c>
      <c r="B86" s="1125">
        <f t="shared" si="8"/>
        <v>22511340.289254352</v>
      </c>
      <c r="C86" s="1125">
        <f t="shared" si="9"/>
        <v>29112544.585372236</v>
      </c>
      <c r="D86" s="1124">
        <f t="shared" si="6"/>
        <v>31466232.906571437</v>
      </c>
      <c r="E86" s="1125">
        <f t="shared" si="10"/>
        <v>37563054.234911174</v>
      </c>
      <c r="F86" s="1125">
        <f t="shared" si="11"/>
        <v>8954892.6173170842</v>
      </c>
      <c r="G86" s="1123">
        <f t="shared" si="7"/>
        <v>7428571.4285714161</v>
      </c>
      <c r="H86" s="1129">
        <f t="shared" si="12"/>
        <v>0.16</v>
      </c>
      <c r="I86" s="1122"/>
    </row>
    <row r="87" spans="1:9" x14ac:dyDescent="0.2">
      <c r="A87" s="1127">
        <v>0.14000000000000001</v>
      </c>
      <c r="B87" s="1125">
        <f t="shared" si="8"/>
        <v>22042354.033228219</v>
      </c>
      <c r="C87" s="1125">
        <f t="shared" si="9"/>
        <v>28402482.522314377</v>
      </c>
      <c r="D87" s="1124">
        <f t="shared" si="6"/>
        <v>30997246.650545303</v>
      </c>
      <c r="E87" s="1125">
        <f t="shared" si="10"/>
        <v>37563054.234911174</v>
      </c>
      <c r="F87" s="1125">
        <f t="shared" si="11"/>
        <v>8954892.6173170842</v>
      </c>
      <c r="G87" s="1123">
        <f t="shared" si="7"/>
        <v>7999999.9999999879</v>
      </c>
      <c r="H87" s="1129">
        <f t="shared" si="12"/>
        <v>0.16</v>
      </c>
      <c r="I87" s="1122"/>
    </row>
    <row r="88" spans="1:9" x14ac:dyDescent="0.2">
      <c r="A88" s="1127">
        <v>0.15</v>
      </c>
      <c r="B88" s="1125">
        <f t="shared" si="8"/>
        <v>21573367.777202085</v>
      </c>
      <c r="C88" s="1125">
        <f t="shared" si="9"/>
        <v>27692420.459256519</v>
      </c>
      <c r="D88" s="1124">
        <f t="shared" si="6"/>
        <v>30528260.394519169</v>
      </c>
      <c r="E88" s="1125">
        <f t="shared" si="10"/>
        <v>37563054.234911174</v>
      </c>
      <c r="F88" s="1125">
        <f t="shared" si="11"/>
        <v>8954892.6173170842</v>
      </c>
      <c r="G88" s="1123">
        <f t="shared" si="7"/>
        <v>8571428.5714285597</v>
      </c>
      <c r="H88" s="1129">
        <f t="shared" si="12"/>
        <v>0.16</v>
      </c>
      <c r="I88" s="1122"/>
    </row>
    <row r="89" spans="1:9" x14ac:dyDescent="0.2">
      <c r="A89" s="1127">
        <v>0.16</v>
      </c>
      <c r="B89" s="1125">
        <f t="shared" si="8"/>
        <v>21104381.521175951</v>
      </c>
      <c r="C89" s="1125">
        <f t="shared" si="9"/>
        <v>26982358.39619866</v>
      </c>
      <c r="D89" s="1124">
        <f t="shared" si="6"/>
        <v>30059274.138493035</v>
      </c>
      <c r="E89" s="1125">
        <f t="shared" si="10"/>
        <v>37563054.234911174</v>
      </c>
      <c r="F89" s="1125">
        <f t="shared" si="11"/>
        <v>8954892.6173170842</v>
      </c>
      <c r="G89" s="1123">
        <f t="shared" si="7"/>
        <v>9142857.1428571306</v>
      </c>
      <c r="H89" s="1129">
        <f t="shared" si="12"/>
        <v>0.16</v>
      </c>
      <c r="I89" s="1122"/>
    </row>
    <row r="90" spans="1:9" x14ac:dyDescent="0.2">
      <c r="A90" s="1127">
        <v>0.17</v>
      </c>
      <c r="B90" s="1125">
        <f t="shared" si="8"/>
        <v>20635395.265149817</v>
      </c>
      <c r="C90" s="1125">
        <f t="shared" si="9"/>
        <v>26272296.333140802</v>
      </c>
      <c r="D90" s="1124">
        <f t="shared" si="6"/>
        <v>29590287.882466901</v>
      </c>
      <c r="E90" s="1125">
        <f t="shared" si="10"/>
        <v>37563054.234911174</v>
      </c>
      <c r="F90" s="1125">
        <f t="shared" si="11"/>
        <v>8954892.6173170842</v>
      </c>
      <c r="G90" s="1123">
        <f t="shared" si="7"/>
        <v>9714285.7142857015</v>
      </c>
      <c r="H90" s="1129">
        <f t="shared" si="12"/>
        <v>0.16</v>
      </c>
      <c r="I90" s="1122"/>
    </row>
    <row r="91" spans="1:9" x14ac:dyDescent="0.2">
      <c r="A91" s="1127">
        <v>0.18</v>
      </c>
      <c r="B91" s="1125">
        <f t="shared" si="8"/>
        <v>20166409.009123683</v>
      </c>
      <c r="C91" s="1125">
        <f t="shared" si="9"/>
        <v>25562234.270082943</v>
      </c>
      <c r="D91" s="1124">
        <f t="shared" si="6"/>
        <v>29121301.626440767</v>
      </c>
      <c r="E91" s="1125">
        <f t="shared" si="10"/>
        <v>37563054.234911174</v>
      </c>
      <c r="F91" s="1125">
        <f t="shared" si="11"/>
        <v>8954892.6173170842</v>
      </c>
      <c r="G91" s="1123">
        <f t="shared" si="7"/>
        <v>10285714.285714272</v>
      </c>
      <c r="H91" s="1129">
        <f t="shared" si="12"/>
        <v>0.16</v>
      </c>
      <c r="I91" s="1122"/>
    </row>
    <row r="92" spans="1:9" x14ac:dyDescent="0.2">
      <c r="A92" s="1127">
        <v>0.19</v>
      </c>
      <c r="B92" s="1125">
        <f t="shared" si="8"/>
        <v>19697422.753097549</v>
      </c>
      <c r="C92" s="1125">
        <f t="shared" si="9"/>
        <v>24852172.207025085</v>
      </c>
      <c r="D92" s="1124">
        <f t="shared" si="6"/>
        <v>28652315.370414633</v>
      </c>
      <c r="E92" s="1125">
        <f t="shared" si="10"/>
        <v>37563054.234911174</v>
      </c>
      <c r="F92" s="1125">
        <f t="shared" si="11"/>
        <v>8954892.6173170842</v>
      </c>
      <c r="G92" s="1123">
        <f t="shared" si="7"/>
        <v>10857142.857142843</v>
      </c>
      <c r="H92" s="1129">
        <f t="shared" si="12"/>
        <v>0.16</v>
      </c>
      <c r="I92" s="1122"/>
    </row>
    <row r="93" spans="1:9" x14ac:dyDescent="0.2">
      <c r="A93" s="1127">
        <v>0.2</v>
      </c>
      <c r="B93" s="1125">
        <f t="shared" si="8"/>
        <v>19228436.497071415</v>
      </c>
      <c r="C93" s="1125">
        <f t="shared" si="9"/>
        <v>24142110.143967226</v>
      </c>
      <c r="D93" s="1124">
        <f t="shared" si="6"/>
        <v>28183329.114388499</v>
      </c>
      <c r="E93" s="1125">
        <f t="shared" si="10"/>
        <v>37563054.234911174</v>
      </c>
      <c r="F93" s="1125">
        <f t="shared" si="11"/>
        <v>8954892.6173170842</v>
      </c>
      <c r="G93" s="1123">
        <f t="shared" si="7"/>
        <v>11428571.428571414</v>
      </c>
      <c r="H93" s="1129">
        <f t="shared" si="12"/>
        <v>0.16</v>
      </c>
      <c r="I93" s="1122"/>
    </row>
    <row r="94" spans="1:9" x14ac:dyDescent="0.2">
      <c r="A94" s="1127">
        <v>0.21</v>
      </c>
      <c r="B94" s="1125">
        <f t="shared" si="8"/>
        <v>18759450.241045281</v>
      </c>
      <c r="C94" s="1125">
        <f t="shared" si="9"/>
        <v>23432048.080909368</v>
      </c>
      <c r="D94" s="1124">
        <f t="shared" si="6"/>
        <v>27714342.858362366</v>
      </c>
      <c r="E94" s="1125">
        <f t="shared" si="10"/>
        <v>37563054.234911174</v>
      </c>
      <c r="F94" s="1125">
        <f t="shared" si="11"/>
        <v>8954892.6173170842</v>
      </c>
      <c r="G94" s="1123">
        <f t="shared" si="7"/>
        <v>11999999.999999985</v>
      </c>
      <c r="H94" s="1129">
        <f t="shared" si="12"/>
        <v>0.16</v>
      </c>
      <c r="I94" s="1122"/>
    </row>
    <row r="95" spans="1:9" x14ac:dyDescent="0.2">
      <c r="A95" s="1127">
        <v>0.22</v>
      </c>
      <c r="B95" s="1125">
        <f t="shared" si="8"/>
        <v>18290463.985019147</v>
      </c>
      <c r="C95" s="1125">
        <f t="shared" si="9"/>
        <v>22721986.017851509</v>
      </c>
      <c r="D95" s="1124">
        <f t="shared" si="6"/>
        <v>27245356.602336232</v>
      </c>
      <c r="E95" s="1125">
        <f t="shared" si="10"/>
        <v>37563054.234911174</v>
      </c>
      <c r="F95" s="1125">
        <f t="shared" si="11"/>
        <v>8954892.6173170842</v>
      </c>
      <c r="G95" s="1123">
        <f t="shared" si="7"/>
        <v>12571428.571428556</v>
      </c>
      <c r="H95" s="1129">
        <f t="shared" si="12"/>
        <v>0.16</v>
      </c>
      <c r="I95" s="1122"/>
    </row>
    <row r="96" spans="1:9" x14ac:dyDescent="0.2">
      <c r="A96" s="1127">
        <v>0.23</v>
      </c>
      <c r="B96" s="1125">
        <f t="shared" si="8"/>
        <v>17821477.728993014</v>
      </c>
      <c r="C96" s="1125">
        <f t="shared" si="9"/>
        <v>22011923.954793651</v>
      </c>
      <c r="D96" s="1124">
        <f t="shared" si="6"/>
        <v>26776370.346310098</v>
      </c>
      <c r="E96" s="1125">
        <f t="shared" si="10"/>
        <v>37563054.234911174</v>
      </c>
      <c r="F96" s="1125">
        <f t="shared" si="11"/>
        <v>8954892.6173170842</v>
      </c>
      <c r="G96" s="1123">
        <f t="shared" si="7"/>
        <v>13142857.142857127</v>
      </c>
      <c r="H96" s="1129">
        <f t="shared" si="12"/>
        <v>0.16</v>
      </c>
      <c r="I96" s="1122"/>
    </row>
    <row r="97" spans="1:9" x14ac:dyDescent="0.2">
      <c r="A97" s="1127">
        <v>0.24</v>
      </c>
      <c r="B97" s="1125">
        <f t="shared" si="8"/>
        <v>17352491.47296688</v>
      </c>
      <c r="C97" s="1125">
        <f t="shared" si="9"/>
        <v>21301861.891735792</v>
      </c>
      <c r="D97" s="1124">
        <f t="shared" si="6"/>
        <v>26307384.090283964</v>
      </c>
      <c r="E97" s="1125">
        <f t="shared" si="10"/>
        <v>37563054.234911174</v>
      </c>
      <c r="F97" s="1125">
        <f t="shared" si="11"/>
        <v>8954892.6173170842</v>
      </c>
      <c r="G97" s="1123">
        <f t="shared" si="7"/>
        <v>13714285.714285698</v>
      </c>
      <c r="H97" s="1129">
        <f t="shared" si="12"/>
        <v>0.16</v>
      </c>
      <c r="I97" s="1122"/>
    </row>
    <row r="98" spans="1:9" x14ac:dyDescent="0.2">
      <c r="A98" s="1127">
        <v>0.25</v>
      </c>
      <c r="B98" s="1125">
        <f t="shared" si="8"/>
        <v>16883505.216940746</v>
      </c>
      <c r="C98" s="1125">
        <f t="shared" si="9"/>
        <v>20591799.828677934</v>
      </c>
      <c r="D98" s="1124">
        <f t="shared" si="6"/>
        <v>25838397.83425783</v>
      </c>
      <c r="E98" s="1125">
        <f t="shared" si="10"/>
        <v>37563054.234911174</v>
      </c>
      <c r="F98" s="1125">
        <f t="shared" si="11"/>
        <v>8954892.6173170842</v>
      </c>
      <c r="G98" s="1123">
        <f t="shared" si="7"/>
        <v>14285714.285714269</v>
      </c>
      <c r="H98" s="1129">
        <f t="shared" si="12"/>
        <v>0.16</v>
      </c>
      <c r="I98" s="1122"/>
    </row>
    <row r="99" spans="1:9" x14ac:dyDescent="0.2">
      <c r="A99" s="1127">
        <v>0.26</v>
      </c>
      <c r="B99" s="1125">
        <f t="shared" si="8"/>
        <v>16414518.960914614</v>
      </c>
      <c r="C99" s="1125">
        <f t="shared" si="9"/>
        <v>19881737.765620075</v>
      </c>
      <c r="D99" s="1124">
        <f t="shared" si="6"/>
        <v>25369411.5782317</v>
      </c>
      <c r="E99" s="1125">
        <f t="shared" si="10"/>
        <v>37563054.234911174</v>
      </c>
      <c r="F99" s="1125">
        <f t="shared" si="11"/>
        <v>8954892.6173170842</v>
      </c>
      <c r="G99" s="1123">
        <f t="shared" si="7"/>
        <v>14857142.85714284</v>
      </c>
      <c r="H99" s="1129">
        <f t="shared" si="12"/>
        <v>0.16</v>
      </c>
      <c r="I99" s="1122"/>
    </row>
    <row r="100" spans="1:9" x14ac:dyDescent="0.2">
      <c r="A100" s="1127">
        <v>0.27</v>
      </c>
      <c r="B100" s="1125">
        <f t="shared" si="8"/>
        <v>15945532.704888482</v>
      </c>
      <c r="C100" s="1125">
        <f t="shared" si="9"/>
        <v>19171675.702562217</v>
      </c>
      <c r="D100" s="1124">
        <f t="shared" si="6"/>
        <v>24900425.322205566</v>
      </c>
      <c r="E100" s="1125">
        <f t="shared" si="10"/>
        <v>37563054.234911174</v>
      </c>
      <c r="F100" s="1125">
        <f t="shared" si="11"/>
        <v>8954892.6173170842</v>
      </c>
      <c r="G100" s="1123">
        <f t="shared" si="7"/>
        <v>15428571.42857141</v>
      </c>
      <c r="H100" s="1129">
        <f t="shared" si="12"/>
        <v>0.16</v>
      </c>
      <c r="I100" s="1122"/>
    </row>
    <row r="101" spans="1:9" x14ac:dyDescent="0.2">
      <c r="A101" s="1127">
        <v>0.28000000000000003</v>
      </c>
      <c r="B101" s="1125">
        <f t="shared" si="8"/>
        <v>15476546.44886235</v>
      </c>
      <c r="C101" s="1125">
        <f t="shared" si="9"/>
        <v>18461613.639504358</v>
      </c>
      <c r="D101" s="1124">
        <f t="shared" si="6"/>
        <v>24431439.066179432</v>
      </c>
      <c r="E101" s="1125">
        <f t="shared" si="10"/>
        <v>37563054.234911174</v>
      </c>
      <c r="F101" s="1125">
        <f t="shared" si="11"/>
        <v>8954892.6173170842</v>
      </c>
      <c r="G101" s="1123">
        <f t="shared" si="7"/>
        <v>15999999.999999981</v>
      </c>
      <c r="H101" s="1129">
        <f t="shared" si="12"/>
        <v>0.16</v>
      </c>
      <c r="I101" s="1122"/>
    </row>
    <row r="102" spans="1:9" x14ac:dyDescent="0.2">
      <c r="A102" s="1127">
        <v>0.28999999999999998</v>
      </c>
      <c r="B102" s="1125">
        <f t="shared" si="8"/>
        <v>15007560.192836218</v>
      </c>
      <c r="C102" s="1125">
        <f t="shared" si="9"/>
        <v>17751551.5764465</v>
      </c>
      <c r="D102" s="1124">
        <f t="shared" si="6"/>
        <v>23962452.810153302</v>
      </c>
      <c r="E102" s="1125">
        <f t="shared" si="10"/>
        <v>37563054.234911174</v>
      </c>
      <c r="F102" s="1125">
        <f t="shared" si="11"/>
        <v>8954892.6173170842</v>
      </c>
      <c r="G102" s="1123">
        <f t="shared" si="7"/>
        <v>16571428.571428552</v>
      </c>
      <c r="H102" s="1129">
        <f t="shared" si="12"/>
        <v>0.16</v>
      </c>
      <c r="I102" s="1122"/>
    </row>
    <row r="103" spans="1:9" x14ac:dyDescent="0.2">
      <c r="A103" s="1127">
        <v>0.3</v>
      </c>
      <c r="B103" s="1125">
        <f t="shared" si="8"/>
        <v>14538573.936810086</v>
      </c>
      <c r="C103" s="1125">
        <f t="shared" si="9"/>
        <v>17041489.513388641</v>
      </c>
      <c r="D103" s="1124">
        <f t="shared" si="6"/>
        <v>23493466.554127172</v>
      </c>
      <c r="E103" s="1125">
        <f t="shared" si="10"/>
        <v>37563054.234911174</v>
      </c>
      <c r="F103" s="1125">
        <f t="shared" si="11"/>
        <v>8954892.6173170842</v>
      </c>
      <c r="G103" s="1123">
        <f t="shared" si="7"/>
        <v>17142857.142857123</v>
      </c>
      <c r="H103" s="1129">
        <f t="shared" si="12"/>
        <v>0.16</v>
      </c>
      <c r="I103" s="1122"/>
    </row>
    <row r="104" spans="1:9" x14ac:dyDescent="0.2">
      <c r="A104" s="1127">
        <v>0.31</v>
      </c>
      <c r="B104" s="1125">
        <f t="shared" si="8"/>
        <v>14069587.680783954</v>
      </c>
      <c r="C104" s="1125">
        <f t="shared" si="9"/>
        <v>16331427.450330781</v>
      </c>
      <c r="D104" s="1124">
        <f t="shared" si="6"/>
        <v>23024480.298101038</v>
      </c>
      <c r="E104" s="1125">
        <f t="shared" si="10"/>
        <v>37563054.234911174</v>
      </c>
      <c r="F104" s="1125">
        <f t="shared" si="11"/>
        <v>8954892.6173170842</v>
      </c>
      <c r="G104" s="1123">
        <f t="shared" si="7"/>
        <v>17714285.714285694</v>
      </c>
      <c r="H104" s="1129">
        <f t="shared" si="12"/>
        <v>0.16</v>
      </c>
      <c r="I104" s="1122"/>
    </row>
    <row r="105" spans="1:9" x14ac:dyDescent="0.2">
      <c r="A105" s="1127">
        <v>0.32</v>
      </c>
      <c r="B105" s="1125">
        <f t="shared" si="8"/>
        <v>13600601.424757821</v>
      </c>
      <c r="C105" s="1125">
        <f t="shared" si="9"/>
        <v>15621365.38727292</v>
      </c>
      <c r="D105" s="1124">
        <f t="shared" si="6"/>
        <v>22555494.042074904</v>
      </c>
      <c r="E105" s="1125">
        <f t="shared" si="10"/>
        <v>37563054.234911174</v>
      </c>
      <c r="F105" s="1125">
        <f t="shared" si="11"/>
        <v>8954892.6173170842</v>
      </c>
      <c r="G105" s="1123">
        <f t="shared" si="7"/>
        <v>18285714.285714265</v>
      </c>
      <c r="H105" s="1129">
        <f t="shared" si="12"/>
        <v>0.16</v>
      </c>
      <c r="I105" s="1122"/>
    </row>
    <row r="106" spans="1:9" x14ac:dyDescent="0.2">
      <c r="A106" s="1127">
        <v>0.33</v>
      </c>
      <c r="B106" s="1125">
        <f t="shared" si="8"/>
        <v>13131615.168731689</v>
      </c>
      <c r="C106" s="1125">
        <f t="shared" si="9"/>
        <v>14911303.32421506</v>
      </c>
      <c r="D106" s="1124">
        <f t="shared" si="6"/>
        <v>22086507.786048774</v>
      </c>
      <c r="E106" s="1125">
        <f t="shared" si="10"/>
        <v>37563054.234911174</v>
      </c>
      <c r="F106" s="1125">
        <f t="shared" si="11"/>
        <v>8954892.6173170842</v>
      </c>
      <c r="G106" s="1123">
        <f t="shared" si="7"/>
        <v>18857142.857142836</v>
      </c>
      <c r="H106" s="1129">
        <f t="shared" si="12"/>
        <v>0.16</v>
      </c>
      <c r="I106" s="1122"/>
    </row>
    <row r="107" spans="1:9" x14ac:dyDescent="0.2">
      <c r="A107" s="1127">
        <v>0.34</v>
      </c>
      <c r="B107" s="1125">
        <f t="shared" si="8"/>
        <v>12662628.912705557</v>
      </c>
      <c r="C107" s="1125">
        <f t="shared" si="9"/>
        <v>14201241.2611572</v>
      </c>
      <c r="D107" s="1124">
        <f t="shared" si="6"/>
        <v>21617521.530022644</v>
      </c>
      <c r="E107" s="1125">
        <f t="shared" si="10"/>
        <v>37563054.234911174</v>
      </c>
      <c r="F107" s="1125">
        <f t="shared" si="11"/>
        <v>8954892.6173170842</v>
      </c>
      <c r="G107" s="1123">
        <f t="shared" si="7"/>
        <v>19428571.428571407</v>
      </c>
      <c r="H107" s="1129">
        <f t="shared" si="12"/>
        <v>0.16</v>
      </c>
      <c r="I107" s="1122"/>
    </row>
    <row r="108" spans="1:9" x14ac:dyDescent="0.2">
      <c r="A108" s="1127">
        <v>0.35</v>
      </c>
      <c r="B108" s="1125">
        <f t="shared" si="8"/>
        <v>12193642.656679425</v>
      </c>
      <c r="C108" s="1125">
        <f t="shared" si="9"/>
        <v>13491179.198099339</v>
      </c>
      <c r="D108" s="1124">
        <f t="shared" si="6"/>
        <v>21148535.27399651</v>
      </c>
      <c r="E108" s="1125">
        <f t="shared" si="10"/>
        <v>37563054.234911174</v>
      </c>
      <c r="F108" s="1125">
        <f t="shared" si="11"/>
        <v>8954892.6173170842</v>
      </c>
      <c r="G108" s="1123">
        <f t="shared" si="7"/>
        <v>19999999.999999978</v>
      </c>
      <c r="H108" s="1129">
        <f t="shared" si="12"/>
        <v>0.16</v>
      </c>
      <c r="I108" s="1122"/>
    </row>
    <row r="109" spans="1:9" x14ac:dyDescent="0.2">
      <c r="A109" s="1127">
        <v>0.36</v>
      </c>
      <c r="B109" s="1125">
        <f t="shared" si="8"/>
        <v>11724656.400653293</v>
      </c>
      <c r="C109" s="1125">
        <f t="shared" si="9"/>
        <v>12781117.135041479</v>
      </c>
      <c r="D109" s="1124">
        <f t="shared" si="6"/>
        <v>20679549.017970376</v>
      </c>
      <c r="E109" s="1125">
        <f t="shared" si="10"/>
        <v>37563054.234911174</v>
      </c>
      <c r="F109" s="1125">
        <f t="shared" si="11"/>
        <v>8954892.6173170842</v>
      </c>
      <c r="G109" s="1123">
        <f t="shared" si="7"/>
        <v>20571428.571428549</v>
      </c>
      <c r="H109" s="1129">
        <f t="shared" si="12"/>
        <v>0.16</v>
      </c>
      <c r="I109" s="1122"/>
    </row>
    <row r="110" spans="1:9" x14ac:dyDescent="0.2">
      <c r="A110" s="1127">
        <v>0.37</v>
      </c>
      <c r="B110" s="1125">
        <f t="shared" si="8"/>
        <v>11255670.144627161</v>
      </c>
      <c r="C110" s="1125">
        <f t="shared" si="9"/>
        <v>12071055.071983619</v>
      </c>
      <c r="D110" s="1124">
        <f t="shared" si="6"/>
        <v>20210562.761944246</v>
      </c>
      <c r="E110" s="1125">
        <f t="shared" si="10"/>
        <v>37563054.234911174</v>
      </c>
      <c r="F110" s="1125">
        <f t="shared" si="11"/>
        <v>8954892.6173170842</v>
      </c>
      <c r="G110" s="1123">
        <f t="shared" si="7"/>
        <v>21142857.142857119</v>
      </c>
      <c r="H110" s="1129">
        <f t="shared" si="12"/>
        <v>0.16</v>
      </c>
      <c r="I110" s="1122"/>
    </row>
    <row r="111" spans="1:9" x14ac:dyDescent="0.2">
      <c r="A111" s="1127">
        <v>0.38</v>
      </c>
      <c r="B111" s="1125">
        <f t="shared" si="8"/>
        <v>10786683.888601029</v>
      </c>
      <c r="C111" s="1125">
        <f t="shared" si="9"/>
        <v>11360993.008925758</v>
      </c>
      <c r="D111" s="1124">
        <f t="shared" si="6"/>
        <v>19741576.505918115</v>
      </c>
      <c r="E111" s="1125">
        <f t="shared" si="10"/>
        <v>37563054.234911174</v>
      </c>
      <c r="F111" s="1125">
        <f t="shared" si="11"/>
        <v>8954892.6173170842</v>
      </c>
      <c r="G111" s="1123">
        <f t="shared" si="7"/>
        <v>21714285.71428569</v>
      </c>
      <c r="H111" s="1129">
        <f t="shared" si="12"/>
        <v>0.16</v>
      </c>
      <c r="I111" s="1122"/>
    </row>
    <row r="112" spans="1:9" x14ac:dyDescent="0.2">
      <c r="A112" s="1127">
        <v>0.39</v>
      </c>
      <c r="B112" s="1125">
        <f t="shared" si="8"/>
        <v>10317697.632574897</v>
      </c>
      <c r="C112" s="1125">
        <f t="shared" si="9"/>
        <v>10650930.945867898</v>
      </c>
      <c r="D112" s="1124">
        <f t="shared" si="6"/>
        <v>19272590.249891981</v>
      </c>
      <c r="E112" s="1125">
        <f t="shared" si="10"/>
        <v>37563054.234911174</v>
      </c>
      <c r="F112" s="1125">
        <f t="shared" si="11"/>
        <v>8954892.6173170842</v>
      </c>
      <c r="G112" s="1123">
        <f t="shared" si="7"/>
        <v>22285714.285714261</v>
      </c>
      <c r="H112" s="1129">
        <f t="shared" si="12"/>
        <v>0.16</v>
      </c>
      <c r="I112" s="1122"/>
    </row>
    <row r="113" spans="1:9" x14ac:dyDescent="0.2">
      <c r="A113" s="1127">
        <v>0.4</v>
      </c>
      <c r="B113" s="1125">
        <f t="shared" si="8"/>
        <v>9848711.3765487652</v>
      </c>
      <c r="C113" s="1125">
        <f t="shared" si="9"/>
        <v>9940868.8828100376</v>
      </c>
      <c r="D113" s="1124">
        <f t="shared" si="6"/>
        <v>18803603.993865848</v>
      </c>
      <c r="E113" s="1125">
        <f t="shared" si="10"/>
        <v>37563054.234911174</v>
      </c>
      <c r="F113" s="1125">
        <f t="shared" si="11"/>
        <v>8954892.6173170842</v>
      </c>
      <c r="G113" s="1123">
        <f t="shared" si="7"/>
        <v>22857142.857142832</v>
      </c>
      <c r="H113" s="1129">
        <f t="shared" si="12"/>
        <v>0.16</v>
      </c>
      <c r="I113" s="1122"/>
    </row>
    <row r="114" spans="1:9" x14ac:dyDescent="0.2">
      <c r="A114" s="1127">
        <v>0.41</v>
      </c>
      <c r="B114" s="1125">
        <f t="shared" si="8"/>
        <v>9379725.1205226332</v>
      </c>
      <c r="C114" s="1125">
        <f t="shared" si="9"/>
        <v>9230806.8197521772</v>
      </c>
      <c r="D114" s="1124">
        <f t="shared" si="6"/>
        <v>18334617.737839717</v>
      </c>
      <c r="E114" s="1125">
        <f t="shared" si="10"/>
        <v>37563054.234911174</v>
      </c>
      <c r="F114" s="1125">
        <f t="shared" si="11"/>
        <v>8954892.6173170842</v>
      </c>
      <c r="G114" s="1123">
        <f t="shared" si="7"/>
        <v>23428571.428571403</v>
      </c>
      <c r="H114" s="1129">
        <f t="shared" si="12"/>
        <v>0.16</v>
      </c>
      <c r="I114" s="1122"/>
    </row>
    <row r="115" spans="1:9" x14ac:dyDescent="0.2">
      <c r="A115" s="1127">
        <v>0.42</v>
      </c>
      <c r="B115" s="1125">
        <f t="shared" si="8"/>
        <v>8910738.8644965012</v>
      </c>
      <c r="C115" s="1125">
        <f t="shared" si="9"/>
        <v>8520744.7566943169</v>
      </c>
      <c r="D115" s="1124">
        <f t="shared" si="6"/>
        <v>17865631.481813587</v>
      </c>
      <c r="E115" s="1125">
        <f t="shared" si="10"/>
        <v>37563054.234911174</v>
      </c>
      <c r="F115" s="1125">
        <f t="shared" si="11"/>
        <v>8954892.6173170842</v>
      </c>
      <c r="G115" s="1123">
        <f t="shared" si="7"/>
        <v>23999999.999999974</v>
      </c>
      <c r="H115" s="1129">
        <f t="shared" si="12"/>
        <v>0.16</v>
      </c>
      <c r="I115" s="1122"/>
    </row>
    <row r="116" spans="1:9" x14ac:dyDescent="0.2">
      <c r="A116" s="1127">
        <v>0.43</v>
      </c>
      <c r="B116" s="1125">
        <f t="shared" si="8"/>
        <v>8441752.6084703691</v>
      </c>
      <c r="C116" s="1125">
        <f t="shared" si="9"/>
        <v>7810682.6936364574</v>
      </c>
      <c r="D116" s="1124">
        <f t="shared" si="6"/>
        <v>17396645.225787453</v>
      </c>
      <c r="E116" s="1125">
        <f t="shared" si="10"/>
        <v>37563054.234911174</v>
      </c>
      <c r="F116" s="1125">
        <f t="shared" si="11"/>
        <v>8954892.6173170842</v>
      </c>
      <c r="G116" s="1123">
        <f t="shared" si="7"/>
        <v>24571428.571428545</v>
      </c>
      <c r="H116" s="1129">
        <f t="shared" si="12"/>
        <v>0.16</v>
      </c>
      <c r="I116" s="1122"/>
    </row>
    <row r="117" spans="1:9" x14ac:dyDescent="0.2">
      <c r="A117" s="1127">
        <v>0.44</v>
      </c>
      <c r="B117" s="1125">
        <f t="shared" si="8"/>
        <v>7972766.3524442362</v>
      </c>
      <c r="C117" s="1125">
        <f t="shared" si="9"/>
        <v>7100620.630578598</v>
      </c>
      <c r="D117" s="1124">
        <f t="shared" si="6"/>
        <v>16927658.969761319</v>
      </c>
      <c r="E117" s="1125">
        <f t="shared" si="10"/>
        <v>37563054.234911174</v>
      </c>
      <c r="F117" s="1125">
        <f t="shared" si="11"/>
        <v>8954892.6173170842</v>
      </c>
      <c r="G117" s="1123">
        <f t="shared" si="7"/>
        <v>25142857.142857116</v>
      </c>
      <c r="H117" s="1129">
        <f t="shared" si="12"/>
        <v>0.16</v>
      </c>
      <c r="I117" s="1122"/>
    </row>
    <row r="118" spans="1:9" x14ac:dyDescent="0.2">
      <c r="A118" s="1127">
        <v>0.45</v>
      </c>
      <c r="B118" s="1125">
        <f t="shared" si="8"/>
        <v>7503780.0964181032</v>
      </c>
      <c r="C118" s="1125">
        <f t="shared" si="9"/>
        <v>6390558.5675207386</v>
      </c>
      <c r="D118" s="1124">
        <f t="shared" si="6"/>
        <v>16458672.713735187</v>
      </c>
      <c r="E118" s="1125">
        <f t="shared" si="10"/>
        <v>37563054.234911174</v>
      </c>
      <c r="F118" s="1125">
        <f t="shared" si="11"/>
        <v>8954892.6173170842</v>
      </c>
      <c r="G118" s="1123">
        <f t="shared" si="7"/>
        <v>25714285.714285687</v>
      </c>
      <c r="H118" s="1129">
        <f t="shared" si="12"/>
        <v>0.16</v>
      </c>
      <c r="I118" s="1122"/>
    </row>
    <row r="119" spans="1:9" x14ac:dyDescent="0.2">
      <c r="A119" s="1127">
        <v>0.46</v>
      </c>
      <c r="B119" s="1125">
        <f t="shared" si="8"/>
        <v>7034793.8403919702</v>
      </c>
      <c r="C119" s="1125">
        <f t="shared" si="9"/>
        <v>5680496.5044628792</v>
      </c>
      <c r="D119" s="1124">
        <f t="shared" si="6"/>
        <v>15989686.457709055</v>
      </c>
      <c r="E119" s="1125">
        <f t="shared" si="10"/>
        <v>37563054.234911174</v>
      </c>
      <c r="F119" s="1125">
        <f t="shared" si="11"/>
        <v>8954892.6173170842</v>
      </c>
      <c r="G119" s="1123">
        <f t="shared" si="7"/>
        <v>26285714.285714258</v>
      </c>
      <c r="H119" s="1129">
        <f t="shared" si="12"/>
        <v>0.16</v>
      </c>
      <c r="I119" s="1122"/>
    </row>
    <row r="120" spans="1:9" x14ac:dyDescent="0.2">
      <c r="A120" s="1127">
        <v>0.47</v>
      </c>
      <c r="B120" s="1125">
        <f t="shared" si="8"/>
        <v>6565807.5843658373</v>
      </c>
      <c r="C120" s="1125">
        <f t="shared" si="9"/>
        <v>4970434.4414050197</v>
      </c>
      <c r="D120" s="1124">
        <f t="shared" si="6"/>
        <v>15520700.201682921</v>
      </c>
      <c r="E120" s="1125">
        <f t="shared" si="10"/>
        <v>37563054.234911174</v>
      </c>
      <c r="F120" s="1125">
        <f t="shared" si="11"/>
        <v>8954892.6173170842</v>
      </c>
      <c r="G120" s="1123">
        <f t="shared" si="7"/>
        <v>26857142.857142828</v>
      </c>
      <c r="H120" s="1129">
        <f t="shared" si="12"/>
        <v>0.16</v>
      </c>
      <c r="I120" s="1122"/>
    </row>
    <row r="121" spans="1:9" x14ac:dyDescent="0.2">
      <c r="A121" s="1127">
        <v>0.48</v>
      </c>
      <c r="B121" s="1125">
        <f t="shared" si="8"/>
        <v>6096821.3283397043</v>
      </c>
      <c r="C121" s="1125">
        <f t="shared" si="9"/>
        <v>4260372.3783471603</v>
      </c>
      <c r="D121" s="1124">
        <f t="shared" si="6"/>
        <v>15051713.945656788</v>
      </c>
      <c r="E121" s="1125">
        <f t="shared" si="10"/>
        <v>37563054.234911174</v>
      </c>
      <c r="F121" s="1125">
        <f t="shared" si="11"/>
        <v>8954892.6173170842</v>
      </c>
      <c r="G121" s="1123">
        <f t="shared" si="7"/>
        <v>27428571.428571399</v>
      </c>
      <c r="H121" s="1129">
        <f t="shared" si="12"/>
        <v>0.16</v>
      </c>
      <c r="I121" s="1122"/>
    </row>
    <row r="122" spans="1:9" x14ac:dyDescent="0.2">
      <c r="A122" s="1127">
        <v>0.49</v>
      </c>
      <c r="B122" s="1125">
        <f t="shared" si="8"/>
        <v>5627835.0723135713</v>
      </c>
      <c r="C122" s="1125">
        <f t="shared" si="9"/>
        <v>3550310.3152893009</v>
      </c>
      <c r="D122" s="1124">
        <f t="shared" si="6"/>
        <v>14582727.689630656</v>
      </c>
      <c r="E122" s="1125">
        <f t="shared" si="10"/>
        <v>37563054.234911174</v>
      </c>
      <c r="F122" s="1125">
        <f t="shared" si="11"/>
        <v>8954892.6173170842</v>
      </c>
      <c r="G122" s="1123">
        <f t="shared" si="7"/>
        <v>27999999.99999997</v>
      </c>
      <c r="H122" s="1129">
        <f t="shared" si="12"/>
        <v>0.16</v>
      </c>
      <c r="I122" s="1122"/>
    </row>
    <row r="123" spans="1:9" x14ac:dyDescent="0.2">
      <c r="A123" s="1127">
        <v>0.5</v>
      </c>
      <c r="B123" s="1125">
        <f t="shared" si="8"/>
        <v>5158848.8162874384</v>
      </c>
      <c r="C123" s="1125">
        <f t="shared" si="9"/>
        <v>2840248.2522314414</v>
      </c>
      <c r="D123" s="1124">
        <f t="shared" si="6"/>
        <v>14113741.433604524</v>
      </c>
      <c r="E123" s="1125">
        <f t="shared" si="10"/>
        <v>37563054.234911174</v>
      </c>
      <c r="F123" s="1125">
        <f t="shared" si="11"/>
        <v>8954892.6173170842</v>
      </c>
      <c r="G123" s="1123">
        <f t="shared" si="7"/>
        <v>28571428.571428541</v>
      </c>
      <c r="H123" s="1129">
        <f t="shared" si="12"/>
        <v>0.16</v>
      </c>
      <c r="I123" s="1122"/>
    </row>
    <row r="124" spans="1:9" x14ac:dyDescent="0.2">
      <c r="A124" s="1127">
        <v>0.51</v>
      </c>
      <c r="B124" s="1125">
        <f t="shared" si="8"/>
        <v>4689862.5602613054</v>
      </c>
      <c r="C124" s="1125">
        <f t="shared" si="9"/>
        <v>2130186.189173582</v>
      </c>
      <c r="D124" s="1124">
        <f t="shared" si="6"/>
        <v>13644755.17757839</v>
      </c>
      <c r="E124" s="1125">
        <f t="shared" si="10"/>
        <v>37563054.234911174</v>
      </c>
      <c r="F124" s="1125">
        <f t="shared" si="11"/>
        <v>8954892.6173170842</v>
      </c>
      <c r="G124" s="1123">
        <f t="shared" si="7"/>
        <v>29142857.142857112</v>
      </c>
      <c r="H124" s="1129">
        <f t="shared" si="12"/>
        <v>0.16</v>
      </c>
      <c r="I124" s="1122"/>
    </row>
    <row r="125" spans="1:9" x14ac:dyDescent="0.2">
      <c r="A125" s="1127">
        <v>0.52</v>
      </c>
      <c r="B125" s="1125">
        <f t="shared" si="8"/>
        <v>4220876.3042351725</v>
      </c>
      <c r="C125" s="1125">
        <f t="shared" si="9"/>
        <v>1420124.1261157226</v>
      </c>
      <c r="D125" s="1124">
        <f t="shared" si="6"/>
        <v>13175768.921552256</v>
      </c>
      <c r="E125" s="1125">
        <f t="shared" si="10"/>
        <v>37563054.234911174</v>
      </c>
      <c r="F125" s="1125">
        <f t="shared" si="11"/>
        <v>8954892.6173170842</v>
      </c>
      <c r="G125" s="1123">
        <f t="shared" si="7"/>
        <v>29714285.714285683</v>
      </c>
      <c r="H125" s="1129">
        <f t="shared" si="12"/>
        <v>0.16</v>
      </c>
      <c r="I125" s="1122"/>
    </row>
    <row r="126" spans="1:9" x14ac:dyDescent="0.2">
      <c r="A126" s="1127">
        <v>0.53</v>
      </c>
      <c r="B126" s="1125">
        <f t="shared" si="8"/>
        <v>3751890.04820904</v>
      </c>
      <c r="C126" s="1125">
        <f t="shared" si="9"/>
        <v>710062.06305786304</v>
      </c>
      <c r="D126" s="1124">
        <f t="shared" si="6"/>
        <v>12706782.665526124</v>
      </c>
      <c r="E126" s="1125">
        <f t="shared" si="10"/>
        <v>37563054.234911174</v>
      </c>
      <c r="F126" s="1125">
        <f t="shared" si="11"/>
        <v>8954892.6173170842</v>
      </c>
      <c r="G126" s="1123">
        <f t="shared" si="7"/>
        <v>30285714.285714254</v>
      </c>
      <c r="H126" s="1129">
        <f t="shared" si="12"/>
        <v>0.16</v>
      </c>
      <c r="I126" s="1122"/>
    </row>
    <row r="127" spans="1:9" x14ac:dyDescent="0.2">
      <c r="A127" s="1126">
        <f>D16</f>
        <v>0.53841441857577443</v>
      </c>
      <c r="B127" s="1125">
        <f t="shared" si="8"/>
        <v>3282903.7921829075</v>
      </c>
      <c r="C127" s="1125">
        <f>C126-($C$73/54)</f>
        <v>3.4924596548080444E-9</v>
      </c>
      <c r="D127" s="1124">
        <f t="shared" si="6"/>
        <v>12237796.409499992</v>
      </c>
      <c r="E127" s="1125">
        <f t="shared" si="10"/>
        <v>37563054.234911174</v>
      </c>
      <c r="F127" s="1125">
        <f t="shared" si="11"/>
        <v>8954892.6173170842</v>
      </c>
      <c r="G127" s="1123">
        <f t="shared" si="7"/>
        <v>30857142.857142825</v>
      </c>
      <c r="H127" s="1129">
        <f t="shared" si="12"/>
        <v>0.16</v>
      </c>
      <c r="I127" s="1122"/>
    </row>
    <row r="128" spans="1:9" x14ac:dyDescent="0.2">
      <c r="A128" s="1128">
        <v>0.55000000000000004</v>
      </c>
      <c r="B128" s="1125">
        <f t="shared" si="8"/>
        <v>2813917.536156775</v>
      </c>
      <c r="C128" s="1125">
        <f t="shared" si="9"/>
        <v>-710062.06305785605</v>
      </c>
      <c r="D128" s="1124">
        <f t="shared" si="6"/>
        <v>11768810.15347386</v>
      </c>
      <c r="E128" s="1125">
        <f t="shared" si="10"/>
        <v>37563054.234911174</v>
      </c>
      <c r="F128" s="1125">
        <f t="shared" si="11"/>
        <v>8954892.6173170842</v>
      </c>
      <c r="G128" s="1123">
        <f t="shared" si="7"/>
        <v>31428571.428571396</v>
      </c>
      <c r="H128" s="1129">
        <f t="shared" si="12"/>
        <v>0.16</v>
      </c>
      <c r="I128" s="1122"/>
    </row>
    <row r="129" spans="1:9" x14ac:dyDescent="0.2">
      <c r="A129" s="1128">
        <v>0.56000000000000005</v>
      </c>
      <c r="B129" s="1125">
        <f t="shared" si="8"/>
        <v>2344931.2801306425</v>
      </c>
      <c r="C129" s="1125">
        <f>C128-($C$73/54)</f>
        <v>-1420124.1261157156</v>
      </c>
      <c r="D129" s="1124">
        <f t="shared" si="6"/>
        <v>11299823.897447728</v>
      </c>
      <c r="E129" s="1125">
        <f t="shared" si="10"/>
        <v>37563054.234911174</v>
      </c>
      <c r="F129" s="1125">
        <f t="shared" si="11"/>
        <v>8954892.6173170842</v>
      </c>
      <c r="G129" s="1123">
        <f t="shared" si="7"/>
        <v>31999999.999999966</v>
      </c>
      <c r="H129" s="1129">
        <f t="shared" si="12"/>
        <v>0.16</v>
      </c>
      <c r="I129" s="1122"/>
    </row>
    <row r="130" spans="1:9" x14ac:dyDescent="0.2">
      <c r="A130" s="1128">
        <v>0.56999999999999995</v>
      </c>
      <c r="B130" s="1125">
        <f t="shared" si="8"/>
        <v>1875945.0241045097</v>
      </c>
      <c r="C130" s="1125">
        <f t="shared" si="9"/>
        <v>-2130186.189173575</v>
      </c>
      <c r="D130" s="1124">
        <f t="shared" si="6"/>
        <v>10830837.641421594</v>
      </c>
      <c r="E130" s="1125">
        <f t="shared" si="10"/>
        <v>37563054.234911174</v>
      </c>
      <c r="F130" s="1125">
        <f t="shared" si="11"/>
        <v>8954892.6173170842</v>
      </c>
      <c r="G130" s="1123">
        <f t="shared" si="7"/>
        <v>32571428.571428537</v>
      </c>
      <c r="H130" s="1129">
        <f t="shared" si="12"/>
        <v>0.16</v>
      </c>
      <c r="I130" s="1122"/>
    </row>
    <row r="131" spans="1:9" x14ac:dyDescent="0.2">
      <c r="A131" s="1128">
        <v>0.57999999999999996</v>
      </c>
      <c r="B131" s="1125">
        <f t="shared" si="8"/>
        <v>1406958.768078377</v>
      </c>
      <c r="C131" s="1125">
        <f t="shared" si="9"/>
        <v>-2840248.2522314345</v>
      </c>
      <c r="D131" s="1124">
        <f t="shared" si="6"/>
        <v>10361851.385395462</v>
      </c>
      <c r="E131" s="1125">
        <f t="shared" si="10"/>
        <v>37563054.234911174</v>
      </c>
      <c r="F131" s="1125">
        <f t="shared" si="11"/>
        <v>8954892.6173170842</v>
      </c>
      <c r="G131" s="1123">
        <f t="shared" si="7"/>
        <v>33142857.142857108</v>
      </c>
      <c r="H131" s="1129">
        <f t="shared" si="12"/>
        <v>0.16</v>
      </c>
      <c r="I131" s="1122"/>
    </row>
    <row r="132" spans="1:9" x14ac:dyDescent="0.2">
      <c r="A132" s="1128">
        <v>0.59</v>
      </c>
      <c r="B132" s="1125">
        <f t="shared" si="8"/>
        <v>937972.51205224427</v>
      </c>
      <c r="C132" s="1125">
        <f t="shared" si="9"/>
        <v>-3550310.3152892939</v>
      </c>
      <c r="D132" s="1124">
        <f t="shared" si="6"/>
        <v>9892865.1293693278</v>
      </c>
      <c r="E132" s="1125">
        <f t="shared" si="10"/>
        <v>37563054.234911174</v>
      </c>
      <c r="F132" s="1125">
        <f t="shared" si="11"/>
        <v>8954892.6173170842</v>
      </c>
      <c r="G132" s="1123">
        <f t="shared" si="7"/>
        <v>33714285.714285679</v>
      </c>
      <c r="H132" s="1129">
        <f t="shared" si="12"/>
        <v>0.16</v>
      </c>
      <c r="I132" s="1122"/>
    </row>
    <row r="133" spans="1:9" x14ac:dyDescent="0.2">
      <c r="A133" s="1128">
        <v>0.6</v>
      </c>
      <c r="B133" s="1125">
        <f t="shared" si="8"/>
        <v>468986.2560261116</v>
      </c>
      <c r="C133" s="1125">
        <f t="shared" si="9"/>
        <v>-4260372.3783471538</v>
      </c>
      <c r="D133" s="1124">
        <f t="shared" si="6"/>
        <v>9423878.8733431958</v>
      </c>
      <c r="E133" s="1125">
        <f t="shared" si="10"/>
        <v>37563054.234911174</v>
      </c>
      <c r="F133" s="1125">
        <f t="shared" si="11"/>
        <v>8954892.6173170842</v>
      </c>
      <c r="G133" s="1123">
        <f t="shared" si="7"/>
        <v>34285714.285714254</v>
      </c>
      <c r="H133" s="1129">
        <f t="shared" si="12"/>
        <v>0.16</v>
      </c>
      <c r="I133" s="1122"/>
    </row>
    <row r="134" spans="1:9" x14ac:dyDescent="0.2">
      <c r="A134" s="1129">
        <f>D34</f>
        <v>0.60914232274778057</v>
      </c>
      <c r="B134" s="1125">
        <f>B133-($B$73/61)</f>
        <v>-2.1071173250675201E-8</v>
      </c>
      <c r="C134" s="1125">
        <f t="shared" si="9"/>
        <v>-4970434.4414050132</v>
      </c>
      <c r="D134" s="1124">
        <f t="shared" si="6"/>
        <v>8954892.6173170637</v>
      </c>
      <c r="E134" s="1125">
        <f t="shared" si="10"/>
        <v>37563054.234911174</v>
      </c>
      <c r="F134" s="1125">
        <f t="shared" si="11"/>
        <v>8954892.6173170842</v>
      </c>
      <c r="G134" s="1123">
        <f t="shared" si="7"/>
        <v>34857142.857142828</v>
      </c>
      <c r="H134" s="1129">
        <f t="shared" si="12"/>
        <v>0.16</v>
      </c>
      <c r="I134" s="1122"/>
    </row>
    <row r="135" spans="1:9" x14ac:dyDescent="0.2">
      <c r="A135" s="1128">
        <v>0.62</v>
      </c>
      <c r="B135" s="1125">
        <f t="shared" si="8"/>
        <v>-468986.25602615374</v>
      </c>
      <c r="C135" s="1125">
        <f t="shared" si="9"/>
        <v>-5680496.5044628726</v>
      </c>
      <c r="D135" s="1124">
        <f t="shared" si="6"/>
        <v>8485906.3612909298</v>
      </c>
      <c r="E135" s="1125">
        <f t="shared" si="10"/>
        <v>37563054.234911174</v>
      </c>
      <c r="F135" s="1125">
        <f t="shared" si="11"/>
        <v>8954892.6173170842</v>
      </c>
      <c r="G135" s="1123">
        <f t="shared" si="7"/>
        <v>35428571.428571403</v>
      </c>
      <c r="H135" s="1129">
        <f t="shared" si="12"/>
        <v>0.16</v>
      </c>
      <c r="I135" s="1122"/>
    </row>
    <row r="136" spans="1:9" x14ac:dyDescent="0.2">
      <c r="A136" s="1128">
        <v>0.63</v>
      </c>
      <c r="B136" s="1125">
        <f t="shared" si="8"/>
        <v>-937972.51205228642</v>
      </c>
      <c r="C136" s="1125">
        <f t="shared" si="9"/>
        <v>-6390558.5675207321</v>
      </c>
      <c r="D136" s="1124">
        <f t="shared" si="6"/>
        <v>8016920.1052647978</v>
      </c>
      <c r="E136" s="1125">
        <f t="shared" si="10"/>
        <v>37563054.234911174</v>
      </c>
      <c r="F136" s="1125">
        <f t="shared" si="11"/>
        <v>8954892.6173170842</v>
      </c>
      <c r="G136" s="1123">
        <f t="shared" si="7"/>
        <v>35999999.999999978</v>
      </c>
      <c r="H136" s="1129">
        <f t="shared" si="12"/>
        <v>0.16</v>
      </c>
      <c r="I136" s="1122"/>
    </row>
    <row r="137" spans="1:9" x14ac:dyDescent="0.2">
      <c r="A137" s="1128">
        <v>0.64</v>
      </c>
      <c r="B137" s="1125">
        <f t="shared" si="8"/>
        <v>-1406958.7680784191</v>
      </c>
      <c r="C137" s="1125">
        <f t="shared" si="9"/>
        <v>-7100620.6305785915</v>
      </c>
      <c r="D137" s="1124">
        <f t="shared" si="6"/>
        <v>7547933.8492386648</v>
      </c>
      <c r="E137" s="1125">
        <f t="shared" si="10"/>
        <v>37563054.234911174</v>
      </c>
      <c r="F137" s="1125">
        <f t="shared" si="11"/>
        <v>8954892.6173170842</v>
      </c>
      <c r="G137" s="1123">
        <f t="shared" si="7"/>
        <v>36571428.571428552</v>
      </c>
      <c r="H137" s="1129">
        <f t="shared" si="12"/>
        <v>0.16</v>
      </c>
      <c r="I137" s="1122"/>
    </row>
    <row r="138" spans="1:9" x14ac:dyDescent="0.2">
      <c r="A138" s="1128">
        <v>0.65</v>
      </c>
      <c r="B138" s="1125">
        <f t="shared" si="8"/>
        <v>-1875945.0241045519</v>
      </c>
      <c r="C138" s="1125">
        <f t="shared" si="9"/>
        <v>-7810682.6936364509</v>
      </c>
      <c r="D138" s="1124">
        <f t="shared" ref="D138:D143" si="13">B138+F138</f>
        <v>7078947.5932125319</v>
      </c>
      <c r="E138" s="1125">
        <f t="shared" si="10"/>
        <v>37563054.234911174</v>
      </c>
      <c r="F138" s="1125">
        <f t="shared" si="11"/>
        <v>8954892.6173170842</v>
      </c>
      <c r="G138" s="1123">
        <f t="shared" ref="G138:G141" si="14">G139-($G$143/70)</f>
        <v>37142857.142857127</v>
      </c>
      <c r="H138" s="1129">
        <f t="shared" si="12"/>
        <v>0.16</v>
      </c>
      <c r="I138" s="1122"/>
    </row>
    <row r="139" spans="1:9" x14ac:dyDescent="0.2">
      <c r="A139" s="1128">
        <v>0.66</v>
      </c>
      <c r="B139" s="1125">
        <f t="shared" ref="B139:B143" si="15">B138-($B$73/61)</f>
        <v>-2344931.2801306844</v>
      </c>
      <c r="C139" s="1125">
        <f t="shared" ref="C139:C143" si="16">C138-($C$73/54)</f>
        <v>-8520744.7566943113</v>
      </c>
      <c r="D139" s="1124">
        <f t="shared" si="13"/>
        <v>6609961.3371863998</v>
      </c>
      <c r="E139" s="1125">
        <f t="shared" ref="E139:E143" si="17">E138</f>
        <v>37563054.234911174</v>
      </c>
      <c r="F139" s="1125">
        <f t="shared" ref="F139:F143" si="18">F138</f>
        <v>8954892.6173170842</v>
      </c>
      <c r="G139" s="1123">
        <f t="shared" si="14"/>
        <v>37714285.714285702</v>
      </c>
      <c r="H139" s="1129">
        <f t="shared" ref="H139:H143" si="19">H138</f>
        <v>0.16</v>
      </c>
      <c r="I139" s="1122"/>
    </row>
    <row r="140" spans="1:9" x14ac:dyDescent="0.2">
      <c r="A140" s="1128">
        <v>0.67</v>
      </c>
      <c r="B140" s="1125">
        <f t="shared" si="15"/>
        <v>-2813917.5361568169</v>
      </c>
      <c r="C140" s="1125">
        <f t="shared" si="16"/>
        <v>-9230806.8197521716</v>
      </c>
      <c r="D140" s="1124">
        <f t="shared" si="13"/>
        <v>6140975.0811602678</v>
      </c>
      <c r="E140" s="1125">
        <f t="shared" si="17"/>
        <v>37563054.234911174</v>
      </c>
      <c r="F140" s="1125">
        <f t="shared" si="18"/>
        <v>8954892.6173170842</v>
      </c>
      <c r="G140" s="1123">
        <f t="shared" si="14"/>
        <v>38285714.285714276</v>
      </c>
      <c r="H140" s="1129">
        <f t="shared" si="19"/>
        <v>0.16</v>
      </c>
      <c r="I140" s="1122"/>
    </row>
    <row r="141" spans="1:9" x14ac:dyDescent="0.2">
      <c r="A141" s="1128">
        <v>0.68</v>
      </c>
      <c r="B141" s="1125">
        <f t="shared" si="15"/>
        <v>-3282903.7921829494</v>
      </c>
      <c r="C141" s="1125">
        <f t="shared" si="16"/>
        <v>-9940868.882810032</v>
      </c>
      <c r="D141" s="1124">
        <f t="shared" si="13"/>
        <v>5671988.8251341349</v>
      </c>
      <c r="E141" s="1125">
        <f t="shared" si="17"/>
        <v>37563054.234911174</v>
      </c>
      <c r="F141" s="1125">
        <f t="shared" si="18"/>
        <v>8954892.6173170842</v>
      </c>
      <c r="G141" s="1123">
        <f t="shared" si="14"/>
        <v>38857142.857142851</v>
      </c>
      <c r="H141" s="1129">
        <f t="shared" si="19"/>
        <v>0.16</v>
      </c>
      <c r="I141" s="1122"/>
    </row>
    <row r="142" spans="1:9" x14ac:dyDescent="0.2">
      <c r="A142" s="1128">
        <v>0.69</v>
      </c>
      <c r="B142" s="1125">
        <f t="shared" si="15"/>
        <v>-3751890.0482090819</v>
      </c>
      <c r="C142" s="1125">
        <f t="shared" si="16"/>
        <v>-10650930.945867892</v>
      </c>
      <c r="D142" s="1124">
        <f t="shared" si="13"/>
        <v>5203002.5691080019</v>
      </c>
      <c r="E142" s="1125">
        <f t="shared" si="17"/>
        <v>37563054.234911174</v>
      </c>
      <c r="F142" s="1125">
        <f t="shared" si="18"/>
        <v>8954892.6173170842</v>
      </c>
      <c r="G142" s="1123">
        <f>G143-($G$143/70)</f>
        <v>39428571.428571425</v>
      </c>
      <c r="H142" s="1129">
        <f t="shared" si="19"/>
        <v>0.16</v>
      </c>
      <c r="I142" s="1122"/>
    </row>
    <row r="143" spans="1:9" x14ac:dyDescent="0.2">
      <c r="A143" s="1128">
        <v>0.7</v>
      </c>
      <c r="B143" s="1125">
        <f t="shared" si="15"/>
        <v>-4220876.3042352144</v>
      </c>
      <c r="C143" s="1125">
        <f t="shared" si="16"/>
        <v>-11360993.008925753</v>
      </c>
      <c r="D143" s="1124">
        <f t="shared" si="13"/>
        <v>4734016.3130818699</v>
      </c>
      <c r="E143" s="1125">
        <f t="shared" si="17"/>
        <v>37563054.234911174</v>
      </c>
      <c r="F143" s="1125">
        <f t="shared" si="18"/>
        <v>8954892.6173170842</v>
      </c>
      <c r="G143" s="1122">
        <v>40000000</v>
      </c>
      <c r="H143" s="1129">
        <f t="shared" si="19"/>
        <v>0.16</v>
      </c>
      <c r="I143" s="1122"/>
    </row>
    <row r="144" spans="1:9" x14ac:dyDescent="0.2">
      <c r="H144" s="1129"/>
    </row>
    <row r="145" spans="8:8" x14ac:dyDescent="0.2">
      <c r="H145" s="1129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G2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D140"/>
  <sheetViews>
    <sheetView topLeftCell="A93" zoomScale="70" zoomScaleNormal="70" workbookViewId="0">
      <selection activeCell="G131" sqref="G131"/>
    </sheetView>
  </sheetViews>
  <sheetFormatPr baseColWidth="10" defaultColWidth="11.5703125" defaultRowHeight="12.75" x14ac:dyDescent="0.2"/>
  <cols>
    <col min="1" max="1" width="17" customWidth="1"/>
    <col min="2" max="2" width="18.28515625" customWidth="1"/>
    <col min="3" max="3" width="14.28515625" bestFit="1" customWidth="1"/>
    <col min="6" max="6" width="23.5703125" bestFit="1" customWidth="1"/>
    <col min="7" max="7" width="16.85546875" customWidth="1"/>
    <col min="8" max="8" width="14.85546875" customWidth="1"/>
    <col min="9" max="9" width="12.5703125" customWidth="1"/>
    <col min="11" max="11" width="12.85546875" bestFit="1" customWidth="1"/>
    <col min="12" max="12" width="13" customWidth="1"/>
    <col min="13" max="13" width="17.28515625" customWidth="1"/>
    <col min="14" max="14" width="14.28515625" customWidth="1"/>
    <col min="15" max="15" width="13.28515625" customWidth="1"/>
    <col min="16" max="16" width="14.140625" customWidth="1"/>
    <col min="17" max="17" width="13.5703125" customWidth="1"/>
    <col min="18" max="18" width="12.5703125" customWidth="1"/>
    <col min="20" max="20" width="17.28515625" customWidth="1"/>
    <col min="25" max="25" width="12.42578125" customWidth="1"/>
  </cols>
  <sheetData>
    <row r="1" spans="1:23" ht="13.5" thickBot="1" x14ac:dyDescent="0.25">
      <c r="A1" s="87"/>
      <c r="B1" s="75"/>
      <c r="C1" s="75"/>
      <c r="D1" s="75"/>
      <c r="E1" s="75"/>
      <c r="F1" s="75"/>
      <c r="G1" s="75"/>
      <c r="H1" s="75"/>
      <c r="I1" s="75"/>
      <c r="J1" s="75"/>
      <c r="K1" s="87"/>
      <c r="L1" s="75"/>
      <c r="M1" s="75"/>
      <c r="N1" s="75"/>
      <c r="O1" s="75"/>
      <c r="P1" s="75"/>
      <c r="Q1" s="1284" t="s">
        <v>519</v>
      </c>
      <c r="R1" s="1285"/>
      <c r="S1" s="75"/>
      <c r="T1" s="75"/>
      <c r="U1" s="75"/>
      <c r="V1" s="75"/>
      <c r="W1" s="76"/>
    </row>
    <row r="2" spans="1:23" ht="13.5" thickBot="1" x14ac:dyDescent="0.25">
      <c r="A2" s="310" t="s">
        <v>520</v>
      </c>
      <c r="B2" s="54"/>
      <c r="C2" s="52"/>
      <c r="D2" s="13"/>
      <c r="E2" s="13"/>
      <c r="F2" s="13"/>
      <c r="G2" s="13"/>
      <c r="H2" s="13"/>
      <c r="I2" s="13"/>
      <c r="J2" s="13"/>
      <c r="K2" s="1286" t="s">
        <v>518</v>
      </c>
      <c r="L2" s="1287"/>
      <c r="M2" s="13"/>
      <c r="N2" s="13"/>
      <c r="O2" s="67" t="s">
        <v>82</v>
      </c>
      <c r="P2" s="13"/>
      <c r="Q2" s="13"/>
      <c r="R2" s="13"/>
      <c r="S2" s="13"/>
      <c r="T2" s="13"/>
      <c r="U2" s="13"/>
      <c r="V2" s="13"/>
      <c r="W2" s="77"/>
    </row>
    <row r="3" spans="1:23" ht="13.5" thickBot="1" x14ac:dyDescent="0.25">
      <c r="A3" s="78"/>
      <c r="B3" s="13"/>
      <c r="C3" s="13"/>
      <c r="D3" s="13"/>
      <c r="E3" s="13"/>
      <c r="F3" s="13"/>
      <c r="G3" s="13"/>
      <c r="H3" s="13"/>
      <c r="I3" s="13"/>
      <c r="J3" s="13"/>
      <c r="K3" s="78"/>
      <c r="L3" s="13"/>
      <c r="M3" s="13"/>
      <c r="N3" s="190" t="s">
        <v>528</v>
      </c>
      <c r="O3" s="58" t="s">
        <v>529</v>
      </c>
      <c r="P3" s="13"/>
      <c r="Q3" s="13"/>
      <c r="R3" s="13"/>
      <c r="S3" s="13"/>
      <c r="T3" s="13"/>
      <c r="U3" s="13"/>
      <c r="V3" s="13"/>
      <c r="W3" s="77"/>
    </row>
    <row r="4" spans="1:23" ht="13.5" thickBot="1" x14ac:dyDescent="0.25">
      <c r="A4" s="311"/>
      <c r="B4" s="55"/>
      <c r="C4" s="55"/>
      <c r="D4" s="55"/>
      <c r="E4" s="55"/>
      <c r="F4" s="13"/>
      <c r="G4" s="1279" t="s">
        <v>756</v>
      </c>
      <c r="H4" s="1280"/>
      <c r="I4" s="1281"/>
      <c r="J4" s="296"/>
      <c r="K4" s="78"/>
      <c r="L4" s="1189" t="s">
        <v>517</v>
      </c>
      <c r="M4" s="1189"/>
      <c r="N4" s="57">
        <v>0.9</v>
      </c>
      <c r="O4" s="59">
        <v>1</v>
      </c>
      <c r="P4" s="313"/>
      <c r="Q4" s="13"/>
      <c r="R4" s="13"/>
      <c r="S4" s="13"/>
      <c r="T4" s="13"/>
      <c r="U4" s="13"/>
      <c r="V4" s="13"/>
      <c r="W4" s="77"/>
    </row>
    <row r="5" spans="1:23" ht="13.5" thickBot="1" x14ac:dyDescent="0.25">
      <c r="A5" s="78"/>
      <c r="B5" s="13"/>
      <c r="C5" s="13"/>
      <c r="D5" s="13"/>
      <c r="E5" s="13"/>
      <c r="F5" s="13"/>
      <c r="G5" s="1296" t="s">
        <v>516</v>
      </c>
      <c r="H5" s="1297"/>
      <c r="I5" s="297">
        <v>52</v>
      </c>
      <c r="J5" s="13"/>
      <c r="K5" s="78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77"/>
    </row>
    <row r="6" spans="1:23" ht="13.5" thickBot="1" x14ac:dyDescent="0.25">
      <c r="A6" s="1288" t="s">
        <v>515</v>
      </c>
      <c r="B6" s="1232"/>
      <c r="C6" s="13"/>
      <c r="D6" s="13"/>
      <c r="E6" s="13"/>
      <c r="F6" s="13"/>
      <c r="G6" s="1298" t="s">
        <v>514</v>
      </c>
      <c r="H6" s="1189"/>
      <c r="I6" s="293">
        <v>5</v>
      </c>
      <c r="J6" s="13"/>
      <c r="K6" s="78"/>
      <c r="L6" s="1269" t="s">
        <v>230</v>
      </c>
      <c r="M6" s="1261" t="s">
        <v>513</v>
      </c>
      <c r="N6" s="1230" t="s">
        <v>512</v>
      </c>
      <c r="O6" s="1230" t="s">
        <v>572</v>
      </c>
      <c r="P6" s="1230" t="s">
        <v>573</v>
      </c>
      <c r="Q6" s="1230" t="s">
        <v>511</v>
      </c>
      <c r="R6" s="1230"/>
      <c r="S6" s="1150" t="s">
        <v>510</v>
      </c>
      <c r="T6" s="1252"/>
      <c r="U6" s="13"/>
      <c r="V6" s="13"/>
      <c r="W6" s="77"/>
    </row>
    <row r="7" spans="1:23" x14ac:dyDescent="0.2">
      <c r="A7" s="78"/>
      <c r="B7" s="13"/>
      <c r="C7" s="13"/>
      <c r="D7" s="13"/>
      <c r="E7" s="13"/>
      <c r="F7" s="13"/>
      <c r="G7" s="1298" t="s">
        <v>509</v>
      </c>
      <c r="H7" s="1189"/>
      <c r="I7" s="293">
        <v>8</v>
      </c>
      <c r="J7" s="13"/>
      <c r="K7" s="78"/>
      <c r="L7" s="1270"/>
      <c r="M7" s="1272"/>
      <c r="N7" s="1186"/>
      <c r="O7" s="1186"/>
      <c r="P7" s="1186"/>
      <c r="Q7" s="1186"/>
      <c r="R7" s="1186"/>
      <c r="S7" s="1204"/>
      <c r="T7" s="1253"/>
      <c r="U7" s="13"/>
      <c r="V7" s="13"/>
      <c r="W7" s="77"/>
    </row>
    <row r="8" spans="1:23" ht="13.5" thickBot="1" x14ac:dyDescent="0.25">
      <c r="A8" s="78"/>
      <c r="B8" s="13"/>
      <c r="C8" s="13"/>
      <c r="D8" s="13"/>
      <c r="E8" s="13"/>
      <c r="F8" s="13"/>
      <c r="G8" s="1299" t="s">
        <v>508</v>
      </c>
      <c r="H8" s="1241"/>
      <c r="I8" s="295">
        <f>I5*I6*I7</f>
        <v>2080</v>
      </c>
      <c r="J8" s="13"/>
      <c r="K8" s="78"/>
      <c r="L8" s="1271"/>
      <c r="M8" s="1262"/>
      <c r="N8" s="1175"/>
      <c r="O8" s="1175"/>
      <c r="P8" s="1175"/>
      <c r="Q8" s="1175"/>
      <c r="R8" s="1175"/>
      <c r="S8" s="1151"/>
      <c r="T8" s="1254"/>
      <c r="U8" s="13"/>
      <c r="V8" s="13"/>
      <c r="W8" s="77"/>
    </row>
    <row r="9" spans="1:23" ht="13.5" thickBot="1" x14ac:dyDescent="0.25">
      <c r="A9" s="1301" t="s">
        <v>507</v>
      </c>
      <c r="B9" s="1302"/>
      <c r="C9" s="1303"/>
      <c r="D9" s="13"/>
      <c r="E9" s="13"/>
      <c r="F9" s="13"/>
      <c r="G9" s="13"/>
      <c r="H9" s="13"/>
      <c r="I9" s="13"/>
      <c r="J9" s="13"/>
      <c r="K9" s="78"/>
      <c r="L9" s="319" t="s">
        <v>506</v>
      </c>
      <c r="M9" s="320">
        <f>B22</f>
        <v>600000</v>
      </c>
      <c r="N9" s="321">
        <f>'E-Inv AF y Am'!E56</f>
        <v>797908.38109166664</v>
      </c>
      <c r="O9" s="321">
        <v>0</v>
      </c>
      <c r="P9" s="321">
        <f>N9+O9</f>
        <v>797908.38109166664</v>
      </c>
      <c r="Q9" s="1259">
        <f>P9*N4</f>
        <v>718117.54298250005</v>
      </c>
      <c r="R9" s="1259"/>
      <c r="S9" s="1263">
        <f>Q9/M9</f>
        <v>1.1968625716375001</v>
      </c>
      <c r="T9" s="1264"/>
      <c r="U9" s="318" t="s">
        <v>530</v>
      </c>
      <c r="V9" s="13"/>
      <c r="W9" s="77"/>
    </row>
    <row r="10" spans="1:23" x14ac:dyDescent="0.2">
      <c r="A10" s="1304" t="s">
        <v>505</v>
      </c>
      <c r="B10" s="1305"/>
      <c r="C10" s="292">
        <v>7</v>
      </c>
      <c r="D10" s="13"/>
      <c r="E10" s="13"/>
      <c r="F10" s="13"/>
      <c r="G10" s="13"/>
      <c r="H10" s="13"/>
      <c r="I10" s="13"/>
      <c r="J10" s="13"/>
      <c r="K10" s="78"/>
      <c r="L10" s="105" t="s">
        <v>504</v>
      </c>
      <c r="M10" s="308">
        <f>B22</f>
        <v>600000</v>
      </c>
      <c r="N10" s="306">
        <f>'E-Inv AF y Am'!D56</f>
        <v>797908.38109166664</v>
      </c>
      <c r="O10" s="306">
        <f>'E-Inv AF y Am'!D50</f>
        <v>6666.6666666666661</v>
      </c>
      <c r="P10" s="306">
        <f>N10-O10</f>
        <v>791241.71442500001</v>
      </c>
      <c r="Q10" s="1260">
        <f>(P10*N4)+O10</f>
        <v>718784.20964916667</v>
      </c>
      <c r="R10" s="1260"/>
      <c r="S10" s="1307">
        <f>Q10/M10</f>
        <v>1.1979736827486112</v>
      </c>
      <c r="T10" s="1308"/>
      <c r="U10" s="318" t="s">
        <v>530</v>
      </c>
      <c r="V10" s="13"/>
      <c r="W10" s="77"/>
    </row>
    <row r="11" spans="1:23" ht="13.5" thickBot="1" x14ac:dyDescent="0.25">
      <c r="A11" s="1238" t="s">
        <v>430</v>
      </c>
      <c r="B11" s="1189"/>
      <c r="C11" s="293">
        <v>1</v>
      </c>
      <c r="D11" s="13"/>
      <c r="E11" s="13"/>
      <c r="F11" s="13"/>
      <c r="G11" s="13"/>
      <c r="H11" s="13"/>
      <c r="I11" s="13"/>
      <c r="J11" s="13"/>
      <c r="K11" s="78"/>
      <c r="L11" s="106">
        <v>1</v>
      </c>
      <c r="M11" s="309">
        <f>F22</f>
        <v>518750</v>
      </c>
      <c r="N11" s="307">
        <f>'E-Inv AF y Am'!D56</f>
        <v>797908.38109166664</v>
      </c>
      <c r="O11" s="307">
        <f>'E-Inv AF y Am'!D50</f>
        <v>6666.6666666666661</v>
      </c>
      <c r="P11" s="307">
        <f>N11-O11</f>
        <v>791241.71442500001</v>
      </c>
      <c r="Q11" s="1242">
        <f>(P11*N4)+O11</f>
        <v>718784.20964916667</v>
      </c>
      <c r="R11" s="1242"/>
      <c r="S11" s="1309">
        <f>Q11/(M11+(F26/2))</f>
        <v>1.382281750739303</v>
      </c>
      <c r="T11" s="1310"/>
      <c r="U11" s="318" t="s">
        <v>530</v>
      </c>
      <c r="V11" s="13"/>
      <c r="W11" s="77"/>
    </row>
    <row r="12" spans="1:23" x14ac:dyDescent="0.2">
      <c r="A12" s="1238" t="s">
        <v>503</v>
      </c>
      <c r="B12" s="1189"/>
      <c r="C12" s="293">
        <v>65</v>
      </c>
      <c r="D12" s="194" t="s">
        <v>427</v>
      </c>
      <c r="E12" s="13"/>
      <c r="F12" s="13"/>
      <c r="G12" s="1169" t="s">
        <v>502</v>
      </c>
      <c r="H12" s="1169"/>
      <c r="I12" s="1246">
        <f>C12+(C12*C15)+(C12*C16)</f>
        <v>152.75</v>
      </c>
      <c r="J12" s="1203" t="s">
        <v>427</v>
      </c>
      <c r="K12" s="7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77"/>
    </row>
    <row r="13" spans="1:23" x14ac:dyDescent="0.2">
      <c r="A13" s="1239" t="s">
        <v>501</v>
      </c>
      <c r="B13" s="1169"/>
      <c r="C13" s="1248">
        <v>7</v>
      </c>
      <c r="D13" s="13"/>
      <c r="E13" s="13"/>
      <c r="F13" s="13"/>
      <c r="G13" s="1169"/>
      <c r="H13" s="1169"/>
      <c r="I13" s="1246"/>
      <c r="J13" s="1203"/>
      <c r="K13" s="78"/>
      <c r="L13" s="18" t="s">
        <v>500</v>
      </c>
      <c r="M13" s="18"/>
      <c r="N13" s="18"/>
      <c r="O13" s="18"/>
      <c r="P13" s="18"/>
      <c r="Q13" s="13"/>
      <c r="R13" s="13"/>
      <c r="S13" s="13"/>
      <c r="T13" s="13"/>
      <c r="U13" s="13"/>
      <c r="V13" s="13"/>
      <c r="W13" s="77"/>
    </row>
    <row r="14" spans="1:23" ht="13.5" thickBot="1" x14ac:dyDescent="0.25">
      <c r="A14" s="1239"/>
      <c r="B14" s="1169"/>
      <c r="C14" s="1248"/>
      <c r="D14" s="13"/>
      <c r="E14" s="13"/>
      <c r="F14" s="13"/>
      <c r="G14" s="13"/>
      <c r="H14" s="13"/>
      <c r="I14" s="13"/>
      <c r="J14" s="13"/>
      <c r="K14" s="78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77"/>
    </row>
    <row r="15" spans="1:23" x14ac:dyDescent="0.2">
      <c r="A15" s="1238" t="s">
        <v>462</v>
      </c>
      <c r="B15" s="1189"/>
      <c r="C15" s="294">
        <v>0.7</v>
      </c>
      <c r="D15" s="13"/>
      <c r="E15" s="13"/>
      <c r="F15" s="13"/>
      <c r="G15" s="13"/>
      <c r="H15" s="13"/>
      <c r="I15" s="13"/>
      <c r="J15" s="13"/>
      <c r="K15" s="78"/>
      <c r="L15" s="1269" t="s">
        <v>230</v>
      </c>
      <c r="M15" s="1261" t="s">
        <v>531</v>
      </c>
      <c r="N15" s="1261"/>
      <c r="O15" s="1230" t="s">
        <v>499</v>
      </c>
      <c r="P15" s="1230"/>
      <c r="Q15" s="1261" t="s">
        <v>498</v>
      </c>
      <c r="R15" s="1150" t="s">
        <v>497</v>
      </c>
      <c r="S15" s="1150"/>
      <c r="T15" s="1150" t="s">
        <v>496</v>
      </c>
      <c r="U15" s="1252"/>
      <c r="V15" s="13"/>
      <c r="W15" s="77"/>
    </row>
    <row r="16" spans="1:23" ht="13.5" thickBot="1" x14ac:dyDescent="0.25">
      <c r="A16" s="1238" t="s">
        <v>495</v>
      </c>
      <c r="B16" s="1189"/>
      <c r="C16" s="294">
        <v>0.65</v>
      </c>
      <c r="D16" s="13"/>
      <c r="E16" s="13"/>
      <c r="F16" s="13"/>
      <c r="G16" s="1182" t="s">
        <v>494</v>
      </c>
      <c r="H16" s="1182"/>
      <c r="I16" s="1249">
        <v>0.95</v>
      </c>
      <c r="J16" s="13"/>
      <c r="K16" s="78"/>
      <c r="L16" s="1271"/>
      <c r="M16" s="1262"/>
      <c r="N16" s="1262"/>
      <c r="O16" s="1175"/>
      <c r="P16" s="1175"/>
      <c r="Q16" s="1262"/>
      <c r="R16" s="1151"/>
      <c r="S16" s="1151"/>
      <c r="T16" s="1151"/>
      <c r="U16" s="1254"/>
      <c r="V16" s="13"/>
      <c r="W16" s="77"/>
    </row>
    <row r="17" spans="1:23" ht="13.5" thickBot="1" x14ac:dyDescent="0.25">
      <c r="A17" s="1240" t="s">
        <v>493</v>
      </c>
      <c r="B17" s="1241"/>
      <c r="C17" s="295">
        <f>I8</f>
        <v>2080</v>
      </c>
      <c r="D17" s="1245" t="s">
        <v>492</v>
      </c>
      <c r="E17" s="1246"/>
      <c r="F17" s="13"/>
      <c r="G17" s="1182"/>
      <c r="H17" s="1182"/>
      <c r="I17" s="1250"/>
      <c r="J17" s="13"/>
      <c r="K17" s="78"/>
      <c r="L17" s="317">
        <v>5</v>
      </c>
      <c r="M17" s="1274">
        <f>S9</f>
        <v>1.1968625716375001</v>
      </c>
      <c r="N17" s="1274"/>
      <c r="O17" s="1243">
        <f>F26/2</f>
        <v>1248.335552596538</v>
      </c>
      <c r="P17" s="1243"/>
      <c r="Q17" s="316">
        <f>M17*O17</f>
        <v>1494.0860997472123</v>
      </c>
      <c r="R17" s="1237"/>
      <c r="S17" s="1237"/>
      <c r="T17" s="1255"/>
      <c r="U17" s="1256"/>
      <c r="V17" s="13"/>
      <c r="W17" s="77"/>
    </row>
    <row r="18" spans="1:23" ht="13.5" thickBot="1" x14ac:dyDescent="0.25">
      <c r="A18" s="78"/>
      <c r="B18" s="13"/>
      <c r="C18" s="13"/>
      <c r="D18" s="13"/>
      <c r="E18" s="13"/>
      <c r="F18" s="13"/>
      <c r="G18" s="13"/>
      <c r="H18" s="13"/>
      <c r="I18" s="13"/>
      <c r="J18" s="13"/>
      <c r="K18" s="78"/>
      <c r="L18" s="304">
        <v>4</v>
      </c>
      <c r="M18" s="1273">
        <f>S9</f>
        <v>1.1968625716375001</v>
      </c>
      <c r="N18" s="1273"/>
      <c r="O18" s="1244">
        <f>F26/2</f>
        <v>1248.335552596538</v>
      </c>
      <c r="P18" s="1244"/>
      <c r="Q18" s="303">
        <f>M18*O18</f>
        <v>1494.0860997472123</v>
      </c>
      <c r="R18" s="1251"/>
      <c r="S18" s="1251"/>
      <c r="T18" s="1257"/>
      <c r="U18" s="1258"/>
      <c r="V18" s="13"/>
      <c r="W18" s="77"/>
    </row>
    <row r="19" spans="1:23" ht="13.5" thickBot="1" x14ac:dyDescent="0.25">
      <c r="A19" s="1282" t="s">
        <v>491</v>
      </c>
      <c r="B19" s="1283"/>
      <c r="C19" s="13"/>
      <c r="D19" s="13"/>
      <c r="E19" s="299" t="s">
        <v>48</v>
      </c>
      <c r="F19" s="13"/>
      <c r="G19" s="13"/>
      <c r="H19" s="13"/>
      <c r="I19" s="13"/>
      <c r="J19" s="13"/>
      <c r="K19" s="78"/>
      <c r="L19" s="304">
        <v>3</v>
      </c>
      <c r="M19" s="1273">
        <f>S10</f>
        <v>1.1979736827486112</v>
      </c>
      <c r="N19" s="1273"/>
      <c r="O19" s="1244">
        <f>F26/2</f>
        <v>1248.335552596538</v>
      </c>
      <c r="P19" s="1244"/>
      <c r="Q19" s="303">
        <f>M19*O19</f>
        <v>1495.4731392500973</v>
      </c>
      <c r="R19" s="1251"/>
      <c r="S19" s="1251"/>
      <c r="T19" s="1257"/>
      <c r="U19" s="1258"/>
      <c r="V19" s="13"/>
      <c r="W19" s="77"/>
    </row>
    <row r="20" spans="1:23" x14ac:dyDescent="0.2">
      <c r="A20" s="78"/>
      <c r="B20" s="13"/>
      <c r="C20" s="13"/>
      <c r="D20" s="13"/>
      <c r="E20" s="13"/>
      <c r="F20" s="13"/>
      <c r="G20" s="13"/>
      <c r="H20" s="13"/>
      <c r="I20" s="13"/>
      <c r="J20" s="13"/>
      <c r="K20" s="78"/>
      <c r="L20" s="304">
        <v>2</v>
      </c>
      <c r="M20" s="1273">
        <f>S10</f>
        <v>1.1979736827486112</v>
      </c>
      <c r="N20" s="1273"/>
      <c r="O20" s="1244">
        <f>F26/2</f>
        <v>1248.335552596538</v>
      </c>
      <c r="P20" s="1244"/>
      <c r="Q20" s="303">
        <f>M20*O20</f>
        <v>1495.4731392500973</v>
      </c>
      <c r="R20" s="1251"/>
      <c r="S20" s="1251"/>
      <c r="T20" s="1257"/>
      <c r="U20" s="1258"/>
      <c r="V20" s="13"/>
      <c r="W20" s="77"/>
    </row>
    <row r="21" spans="1:23" ht="13.5" thickBot="1" x14ac:dyDescent="0.25">
      <c r="A21" s="412" t="s">
        <v>392</v>
      </c>
      <c r="B21" s="300">
        <f>C10*C11*C17*I12</f>
        <v>2224040</v>
      </c>
      <c r="C21" s="13"/>
      <c r="D21" s="13"/>
      <c r="E21" s="411" t="s">
        <v>392</v>
      </c>
      <c r="F21" s="300">
        <f>B21*I16</f>
        <v>2112838</v>
      </c>
      <c r="G21" s="13"/>
      <c r="H21" s="13"/>
      <c r="I21" s="13"/>
      <c r="J21" s="13"/>
      <c r="K21" s="78"/>
      <c r="L21" s="305">
        <v>1</v>
      </c>
      <c r="M21" s="1306">
        <f>S11</f>
        <v>1.382281750739303</v>
      </c>
      <c r="N21" s="1306"/>
      <c r="O21" s="1247">
        <f>F26/2</f>
        <v>1248.335552596538</v>
      </c>
      <c r="P21" s="1247"/>
      <c r="Q21" s="302">
        <f>M21*O21</f>
        <v>1725.5514531532579</v>
      </c>
      <c r="R21" s="1300">
        <f>M21*$F$22</f>
        <v>717058.65819601342</v>
      </c>
      <c r="S21" s="1300"/>
      <c r="T21" s="1235">
        <f>Q11-R21-O21</f>
        <v>477.2159005567155</v>
      </c>
      <c r="U21" s="1236"/>
      <c r="V21" s="13"/>
      <c r="W21" s="77"/>
    </row>
    <row r="22" spans="1:23" x14ac:dyDescent="0.2">
      <c r="A22" s="1265" t="s">
        <v>490</v>
      </c>
      <c r="B22" s="1266">
        <v>600000</v>
      </c>
      <c r="C22" s="13"/>
      <c r="D22" s="13"/>
      <c r="E22" s="1218" t="s">
        <v>489</v>
      </c>
      <c r="F22" s="1276">
        <v>518750</v>
      </c>
      <c r="G22" s="13"/>
      <c r="H22" s="13"/>
      <c r="I22" s="13"/>
      <c r="J22" s="13"/>
      <c r="K22" s="78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77"/>
    </row>
    <row r="23" spans="1:23" x14ac:dyDescent="0.2">
      <c r="A23" s="1265"/>
      <c r="B23" s="1267"/>
      <c r="C23" s="13"/>
      <c r="D23" s="13"/>
      <c r="E23" s="1218"/>
      <c r="F23" s="1276"/>
      <c r="G23" s="13"/>
      <c r="H23" s="13"/>
      <c r="I23" s="13"/>
      <c r="J23" s="13"/>
      <c r="K23" s="78"/>
      <c r="L23" s="314"/>
      <c r="M23" s="314"/>
      <c r="N23" s="314"/>
      <c r="O23" s="314"/>
      <c r="P23" s="314"/>
      <c r="Q23" s="314"/>
      <c r="R23" s="314"/>
      <c r="S23" s="13"/>
      <c r="T23" s="13"/>
      <c r="U23" s="13"/>
      <c r="V23" s="13"/>
      <c r="W23" s="77"/>
    </row>
    <row r="24" spans="1:23" x14ac:dyDescent="0.2">
      <c r="A24" s="1265" t="s">
        <v>422</v>
      </c>
      <c r="B24" s="1278">
        <f>B21/B22</f>
        <v>3.7067333333333332</v>
      </c>
      <c r="C24" s="1277" t="s">
        <v>427</v>
      </c>
      <c r="D24" s="13"/>
      <c r="E24" s="1218"/>
      <c r="F24" s="1276"/>
      <c r="G24" s="13"/>
      <c r="H24" s="13"/>
      <c r="I24" s="13"/>
      <c r="J24" s="13"/>
      <c r="K24" s="79"/>
      <c r="L24" s="315"/>
      <c r="M24" s="315"/>
      <c r="N24" s="315"/>
      <c r="O24" s="315"/>
      <c r="P24" s="315"/>
      <c r="Q24" s="315"/>
      <c r="R24" s="315"/>
      <c r="S24" s="73"/>
      <c r="T24" s="73"/>
      <c r="U24" s="73"/>
      <c r="V24" s="73"/>
      <c r="W24" s="80"/>
    </row>
    <row r="25" spans="1:23" ht="13.5" thickBot="1" x14ac:dyDescent="0.25">
      <c r="A25" s="1265"/>
      <c r="B25" s="1278"/>
      <c r="C25" s="1277"/>
      <c r="D25" s="13"/>
      <c r="E25" s="411" t="s">
        <v>488</v>
      </c>
      <c r="F25" s="301">
        <f>B24*F22</f>
        <v>1922867.9166666665</v>
      </c>
      <c r="G25" s="13"/>
      <c r="H25" s="13"/>
      <c r="I25" s="13"/>
      <c r="J25" s="13"/>
      <c r="K25" s="87"/>
      <c r="L25" s="362"/>
      <c r="M25" s="362"/>
      <c r="N25" s="362"/>
      <c r="O25" s="362"/>
      <c r="P25" s="362"/>
      <c r="Q25" s="362"/>
      <c r="R25" s="362"/>
      <c r="S25" s="75"/>
      <c r="T25" s="76"/>
    </row>
    <row r="26" spans="1:23" x14ac:dyDescent="0.2">
      <c r="A26" s="78"/>
      <c r="B26" s="13"/>
      <c r="C26" s="13">
        <f>B25*0.15</f>
        <v>0</v>
      </c>
      <c r="D26" s="13"/>
      <c r="E26" s="1218" t="s">
        <v>487</v>
      </c>
      <c r="F26" s="1275">
        <f>3000/1.2016</f>
        <v>2496.6711051930761</v>
      </c>
      <c r="G26" s="13"/>
      <c r="H26" s="312"/>
      <c r="I26" s="13"/>
      <c r="J26" s="13"/>
      <c r="K26" s="1289" t="s">
        <v>486</v>
      </c>
      <c r="L26" s="1290"/>
      <c r="M26" s="13"/>
      <c r="N26" s="13"/>
      <c r="O26" s="13"/>
      <c r="P26" s="13"/>
      <c r="Q26" s="13"/>
      <c r="R26" s="13"/>
      <c r="S26" s="13"/>
      <c r="T26" s="77"/>
    </row>
    <row r="27" spans="1:23" ht="13.5" thickBot="1" x14ac:dyDescent="0.25">
      <c r="A27" s="78"/>
      <c r="B27" s="13"/>
      <c r="C27" s="13"/>
      <c r="D27" s="13"/>
      <c r="E27" s="1218"/>
      <c r="F27" s="1275"/>
      <c r="G27" s="13"/>
      <c r="H27" s="13"/>
      <c r="I27" s="13"/>
      <c r="J27" s="13"/>
      <c r="K27" s="1223" t="s">
        <v>485</v>
      </c>
      <c r="L27" s="1223"/>
      <c r="M27" s="1223"/>
      <c r="N27" s="13"/>
      <c r="O27" s="13"/>
      <c r="P27" s="13"/>
      <c r="Q27" s="13"/>
      <c r="R27" s="13"/>
      <c r="S27" s="13"/>
      <c r="T27" s="77"/>
    </row>
    <row r="28" spans="1:23" ht="13.5" thickBot="1" x14ac:dyDescent="0.25">
      <c r="A28" s="1219" t="s">
        <v>484</v>
      </c>
      <c r="B28" s="1220"/>
      <c r="C28" s="13"/>
      <c r="D28" s="13"/>
      <c r="E28" s="1218"/>
      <c r="F28" s="1275"/>
      <c r="G28" s="13"/>
      <c r="H28" s="13"/>
      <c r="I28" s="13"/>
      <c r="J28" s="13"/>
      <c r="K28" s="78"/>
      <c r="L28" s="13"/>
      <c r="M28" s="13"/>
      <c r="N28" s="13"/>
      <c r="O28" s="13"/>
      <c r="P28" s="1292" t="s">
        <v>483</v>
      </c>
      <c r="Q28" s="1293"/>
      <c r="R28" s="341">
        <v>0.96</v>
      </c>
      <c r="S28" s="13" t="s">
        <v>482</v>
      </c>
      <c r="T28" s="77"/>
      <c r="U28" t="s">
        <v>524</v>
      </c>
    </row>
    <row r="29" spans="1:23" ht="13.5" thickBot="1" x14ac:dyDescent="0.25">
      <c r="A29" s="1219"/>
      <c r="B29" s="1220"/>
      <c r="C29" s="13"/>
      <c r="D29" s="13"/>
      <c r="E29" s="1218" t="s">
        <v>391</v>
      </c>
      <c r="F29" s="1276">
        <f>B24*F26/2</f>
        <v>4627.2470039946738</v>
      </c>
      <c r="G29" s="13"/>
      <c r="H29" s="13"/>
      <c r="I29" s="13"/>
      <c r="J29" s="13"/>
      <c r="K29" s="1291" t="s">
        <v>481</v>
      </c>
      <c r="L29" s="1291"/>
      <c r="M29" s="337">
        <v>27.454999999999998</v>
      </c>
      <c r="N29" s="81" t="s">
        <v>480</v>
      </c>
      <c r="O29" s="13"/>
      <c r="P29" s="1294" t="s">
        <v>479</v>
      </c>
      <c r="Q29" s="1295"/>
      <c r="R29" s="342">
        <v>0.95</v>
      </c>
      <c r="S29" s="13" t="s">
        <v>478</v>
      </c>
      <c r="T29" s="77"/>
    </row>
    <row r="30" spans="1:23" x14ac:dyDescent="0.2">
      <c r="A30" s="1219"/>
      <c r="B30" s="1220"/>
      <c r="C30" s="13"/>
      <c r="D30" s="13"/>
      <c r="E30" s="1218"/>
      <c r="F30" s="1276"/>
      <c r="G30" s="13"/>
      <c r="H30" s="13"/>
      <c r="I30" s="13"/>
      <c r="J30" s="13"/>
      <c r="K30" s="1221" t="s">
        <v>521</v>
      </c>
      <c r="L30" s="1221"/>
      <c r="M30" s="338">
        <v>0.69599999999999995</v>
      </c>
      <c r="N30" s="81" t="s">
        <v>450</v>
      </c>
      <c r="O30" s="13" t="s">
        <v>522</v>
      </c>
      <c r="P30" s="13" t="s">
        <v>523</v>
      </c>
      <c r="Q30" s="13"/>
      <c r="R30" s="13"/>
      <c r="S30" s="13"/>
      <c r="T30" s="77"/>
    </row>
    <row r="31" spans="1:23" ht="13.5" thickBot="1" x14ac:dyDescent="0.25">
      <c r="A31" s="1219"/>
      <c r="B31" s="1220"/>
      <c r="C31" s="13"/>
      <c r="D31" s="13"/>
      <c r="E31" s="1218" t="s">
        <v>477</v>
      </c>
      <c r="F31" s="1228">
        <f>F21-F25-F29</f>
        <v>185342.83632933881</v>
      </c>
      <c r="G31" s="13"/>
      <c r="H31" s="13"/>
      <c r="I31" s="13"/>
      <c r="J31" s="13"/>
      <c r="K31" s="1221" t="s">
        <v>475</v>
      </c>
      <c r="L31" s="1221"/>
      <c r="M31" s="338">
        <v>212.44499999999999</v>
      </c>
      <c r="N31" s="81" t="s">
        <v>476</v>
      </c>
      <c r="O31" s="13"/>
      <c r="P31" s="13"/>
      <c r="Q31" s="13"/>
      <c r="R31" s="13"/>
      <c r="S31" s="13"/>
      <c r="T31" s="77"/>
    </row>
    <row r="32" spans="1:23" ht="13.5" thickBot="1" x14ac:dyDescent="0.25">
      <c r="A32" s="1219"/>
      <c r="B32" s="1220"/>
      <c r="C32" s="13"/>
      <c r="D32" s="13"/>
      <c r="E32" s="1218"/>
      <c r="F32" s="1228"/>
      <c r="G32" s="13"/>
      <c r="H32" s="13"/>
      <c r="I32" s="13"/>
      <c r="J32" s="13"/>
      <c r="K32" s="1221" t="s">
        <v>475</v>
      </c>
      <c r="L32" s="1221"/>
      <c r="M32" s="338">
        <f>M31/8</f>
        <v>26.555624999999999</v>
      </c>
      <c r="N32" s="81" t="s">
        <v>474</v>
      </c>
      <c r="O32" s="13"/>
      <c r="P32" s="1311" t="s">
        <v>473</v>
      </c>
      <c r="Q32" s="1312"/>
      <c r="R32" s="340">
        <f>(M32*I8)*R28</f>
        <v>53026.271999999997</v>
      </c>
      <c r="S32" s="81" t="s">
        <v>472</v>
      </c>
      <c r="T32" s="77"/>
    </row>
    <row r="33" spans="1:23" ht="13.5" thickBot="1" x14ac:dyDescent="0.25">
      <c r="A33" s="78"/>
      <c r="B33" s="13"/>
      <c r="C33" s="13"/>
      <c r="D33" s="13"/>
      <c r="E33" s="1218"/>
      <c r="F33" s="1228"/>
      <c r="G33" s="13"/>
      <c r="H33" s="13"/>
      <c r="I33" s="13"/>
      <c r="J33" s="13"/>
      <c r="K33" s="1330" t="s">
        <v>471</v>
      </c>
      <c r="L33" s="1330"/>
      <c r="M33" s="339">
        <v>77.56</v>
      </c>
      <c r="N33" s="81" t="s">
        <v>470</v>
      </c>
      <c r="O33" s="13" t="s">
        <v>522</v>
      </c>
      <c r="P33" s="55" t="s">
        <v>523</v>
      </c>
      <c r="Q33" s="13"/>
      <c r="R33" s="13"/>
      <c r="S33" s="13"/>
      <c r="T33" s="77"/>
    </row>
    <row r="34" spans="1:23" ht="13.5" thickBot="1" x14ac:dyDescent="0.25">
      <c r="A34" s="79"/>
      <c r="B34" s="73"/>
      <c r="C34" s="73"/>
      <c r="D34" s="73"/>
      <c r="E34" s="1268"/>
      <c r="F34" s="1229"/>
      <c r="G34" s="73"/>
      <c r="H34" s="73"/>
      <c r="I34" s="73"/>
      <c r="J34" s="73"/>
      <c r="K34" s="78"/>
      <c r="L34" s="13"/>
      <c r="M34" s="13"/>
      <c r="N34" s="13"/>
      <c r="O34" s="13"/>
      <c r="P34" s="13"/>
      <c r="Q34" s="13"/>
      <c r="R34" s="13"/>
      <c r="S34" s="13"/>
      <c r="T34" s="77"/>
    </row>
    <row r="35" spans="1:23" ht="13.5" thickBot="1" x14ac:dyDescent="0.25">
      <c r="A35" s="31"/>
      <c r="B35" s="13"/>
      <c r="C35" s="13"/>
      <c r="D35" s="13"/>
      <c r="E35" s="13"/>
      <c r="F35" s="13"/>
      <c r="G35" s="13"/>
      <c r="H35" s="13"/>
      <c r="I35" s="13"/>
      <c r="J35" s="13"/>
      <c r="K35" s="78"/>
      <c r="L35" s="32" t="s">
        <v>403</v>
      </c>
      <c r="M35" s="13"/>
      <c r="N35" s="1331" t="s">
        <v>469</v>
      </c>
      <c r="O35" s="13"/>
      <c r="P35" s="363" t="s">
        <v>48</v>
      </c>
      <c r="Q35" s="13"/>
      <c r="R35" s="13"/>
      <c r="S35" s="13"/>
      <c r="T35" s="77"/>
    </row>
    <row r="36" spans="1:23" ht="13.5" thickBot="1" x14ac:dyDescent="0.25">
      <c r="A36" s="1313" t="s">
        <v>468</v>
      </c>
      <c r="B36" s="1290"/>
      <c r="J36" s="13"/>
      <c r="K36" s="78"/>
      <c r="L36" s="13"/>
      <c r="M36" s="13"/>
      <c r="N36" s="1332"/>
      <c r="O36" s="13"/>
      <c r="P36" s="13"/>
      <c r="Q36" s="13"/>
      <c r="R36" s="13"/>
      <c r="S36" s="13"/>
      <c r="T36" s="77"/>
    </row>
    <row r="37" spans="1:23" ht="13.5" thickBot="1" x14ac:dyDescent="0.25">
      <c r="A37" s="1314" t="s">
        <v>757</v>
      </c>
      <c r="B37" s="1315"/>
      <c r="C37" s="1316"/>
      <c r="D37" s="324"/>
      <c r="E37" s="324"/>
      <c r="G37" s="1189" t="s">
        <v>467</v>
      </c>
      <c r="H37" s="1189"/>
      <c r="I37" s="323">
        <v>12</v>
      </c>
      <c r="K37" s="1323" t="s">
        <v>449</v>
      </c>
      <c r="L37" s="1324"/>
      <c r="M37" s="349">
        <f>(M29*M33)</f>
        <v>2129.4097999999999</v>
      </c>
      <c r="N37" s="361">
        <f>M37*R28</f>
        <v>2044.2334079999998</v>
      </c>
      <c r="O37" s="1325" t="s">
        <v>466</v>
      </c>
      <c r="P37" s="1324"/>
      <c r="Q37" s="353">
        <f>M41*R29</f>
        <v>53091.97949759999</v>
      </c>
      <c r="R37" s="13"/>
      <c r="S37" s="13"/>
      <c r="T37" s="77"/>
    </row>
    <row r="38" spans="1:23" ht="13.5" thickBot="1" x14ac:dyDescent="0.25">
      <c r="A38" s="1335" t="s">
        <v>465</v>
      </c>
      <c r="B38" s="1336"/>
      <c r="C38" s="333">
        <v>0.5</v>
      </c>
      <c r="K38" s="1321" t="s">
        <v>446</v>
      </c>
      <c r="L38" s="1322"/>
      <c r="M38" s="350">
        <f>(M32*I8)</f>
        <v>55235.7</v>
      </c>
      <c r="N38" s="1333">
        <f>(M38+M39)*$R$28</f>
        <v>53842.060799999992</v>
      </c>
      <c r="O38" s="1326" t="s">
        <v>451</v>
      </c>
      <c r="P38" s="1322"/>
      <c r="Q38" s="359">
        <f>Q37/R32</f>
        <v>1.0012391498614119</v>
      </c>
      <c r="R38" s="13"/>
      <c r="S38" s="13"/>
      <c r="T38" s="77"/>
    </row>
    <row r="39" spans="1:23" ht="13.5" thickBot="1" x14ac:dyDescent="0.25">
      <c r="A39" s="1337" t="s">
        <v>464</v>
      </c>
      <c r="B39" s="1150"/>
      <c r="C39" s="1230" t="s">
        <v>463</v>
      </c>
      <c r="D39" s="1230" t="s">
        <v>462</v>
      </c>
      <c r="E39" s="1230" t="s">
        <v>461</v>
      </c>
      <c r="F39" s="1230" t="s">
        <v>460</v>
      </c>
      <c r="G39" s="1252" t="s">
        <v>392</v>
      </c>
      <c r="K39" s="1321" t="s">
        <v>459</v>
      </c>
      <c r="L39" s="1322"/>
      <c r="M39" s="350">
        <f>(C63*C66*C65*M32)</f>
        <v>849.78</v>
      </c>
      <c r="N39" s="1334"/>
      <c r="O39" s="1326" t="s">
        <v>418</v>
      </c>
      <c r="P39" s="1322"/>
      <c r="Q39" s="359">
        <f>Q37/F22</f>
        <v>0.10234598457368672</v>
      </c>
      <c r="R39" s="13"/>
      <c r="S39" s="13"/>
      <c r="T39" s="77"/>
    </row>
    <row r="40" spans="1:23" ht="13.5" thickBot="1" x14ac:dyDescent="0.25">
      <c r="A40" s="1338"/>
      <c r="B40" s="1151"/>
      <c r="C40" s="1175"/>
      <c r="D40" s="1175"/>
      <c r="E40" s="1175"/>
      <c r="F40" s="1175"/>
      <c r="G40" s="1254"/>
      <c r="K40" s="1317" t="s">
        <v>458</v>
      </c>
      <c r="L40" s="1318"/>
      <c r="M40" s="345">
        <f>SUM(M37:M39)</f>
        <v>58214.889799999997</v>
      </c>
      <c r="N40" s="348"/>
      <c r="O40" s="354" t="s">
        <v>457</v>
      </c>
      <c r="P40" s="343"/>
      <c r="Q40" s="355">
        <f>Q39*(F22-F26)</f>
        <v>52836.455235182329</v>
      </c>
      <c r="R40" s="13"/>
      <c r="S40" s="22"/>
      <c r="T40" s="77"/>
    </row>
    <row r="41" spans="1:23" x14ac:dyDescent="0.2">
      <c r="A41" s="1226" t="s">
        <v>456</v>
      </c>
      <c r="B41" s="1227"/>
      <c r="C41" s="330">
        <v>50000</v>
      </c>
      <c r="D41" s="331">
        <f t="shared" ref="D41:D48" si="0">$C$38</f>
        <v>0.5</v>
      </c>
      <c r="E41" s="332">
        <v>1</v>
      </c>
      <c r="F41" s="332">
        <v>0.33329999999999999</v>
      </c>
      <c r="G41" s="334">
        <f t="shared" ref="G41:G48" si="1">(C41+C41*D41)*E41*F41*$I$37</f>
        <v>299970</v>
      </c>
      <c r="K41" s="1327" t="s">
        <v>455</v>
      </c>
      <c r="L41" s="1327"/>
      <c r="M41" s="1328">
        <f>M40*R28</f>
        <v>55886.294207999992</v>
      </c>
      <c r="N41" s="348"/>
      <c r="O41" s="354" t="s">
        <v>454</v>
      </c>
      <c r="P41" s="343"/>
      <c r="Q41" s="360">
        <f>Q39*F26/2</f>
        <v>127.76213120882997</v>
      </c>
      <c r="R41" s="13"/>
      <c r="S41" s="13"/>
      <c r="T41" s="77"/>
    </row>
    <row r="42" spans="1:23" x14ac:dyDescent="0.2">
      <c r="A42" s="1222" t="s">
        <v>453</v>
      </c>
      <c r="B42" s="1223"/>
      <c r="C42" s="68">
        <v>35000</v>
      </c>
      <c r="D42" s="69">
        <f t="shared" si="0"/>
        <v>0.5</v>
      </c>
      <c r="E42" s="70">
        <v>1</v>
      </c>
      <c r="F42" s="70">
        <v>0.6</v>
      </c>
      <c r="G42" s="335">
        <f t="shared" si="1"/>
        <v>378000</v>
      </c>
      <c r="K42" s="1327"/>
      <c r="L42" s="1327"/>
      <c r="M42" s="1328"/>
      <c r="N42" s="348"/>
      <c r="O42" s="354" t="s">
        <v>574</v>
      </c>
      <c r="P42" s="343"/>
      <c r="Q42" s="360">
        <f>Q37-Q40-Q41</f>
        <v>127.76213120883082</v>
      </c>
      <c r="R42" s="13"/>
      <c r="S42" s="13"/>
      <c r="T42" s="77"/>
    </row>
    <row r="43" spans="1:23" x14ac:dyDescent="0.2">
      <c r="A43" s="1222" t="s">
        <v>452</v>
      </c>
      <c r="B43" s="1223"/>
      <c r="C43" s="68">
        <v>35000</v>
      </c>
      <c r="D43" s="69">
        <f t="shared" si="0"/>
        <v>0.5</v>
      </c>
      <c r="E43" s="70">
        <v>1</v>
      </c>
      <c r="F43" s="70">
        <v>0.33329999999999999</v>
      </c>
      <c r="G43" s="335">
        <f t="shared" si="1"/>
        <v>209979</v>
      </c>
      <c r="K43" s="1321" t="s">
        <v>451</v>
      </c>
      <c r="L43" s="1322"/>
      <c r="M43" s="346">
        <f>M41/R32</f>
        <v>1.0539359472225389</v>
      </c>
      <c r="N43" s="351" t="s">
        <v>450</v>
      </c>
      <c r="O43" s="1183" t="s">
        <v>449</v>
      </c>
      <c r="P43" s="1184"/>
      <c r="Q43" s="355">
        <f>M37*R28*R29</f>
        <v>1942.0217375999998</v>
      </c>
      <c r="R43" s="13"/>
      <c r="S43" s="13"/>
      <c r="T43" s="77"/>
    </row>
    <row r="44" spans="1:23" ht="13.5" thickBot="1" x14ac:dyDescent="0.25">
      <c r="A44" s="1222" t="s">
        <v>448</v>
      </c>
      <c r="B44" s="1223"/>
      <c r="C44" s="68">
        <v>20000</v>
      </c>
      <c r="D44" s="69">
        <f t="shared" si="0"/>
        <v>0.5</v>
      </c>
      <c r="E44" s="70">
        <v>1</v>
      </c>
      <c r="F44" s="70">
        <v>0.33329999999999999</v>
      </c>
      <c r="G44" s="335">
        <f t="shared" si="1"/>
        <v>119988</v>
      </c>
      <c r="K44" s="1321" t="s">
        <v>447</v>
      </c>
      <c r="L44" s="1322"/>
      <c r="M44" s="346">
        <f>M38/B22</f>
        <v>9.2059499999999989E-2</v>
      </c>
      <c r="N44" s="352"/>
      <c r="O44" s="356" t="s">
        <v>446</v>
      </c>
      <c r="P44" s="357"/>
      <c r="Q44" s="358">
        <f>(M38+M39)*R28*R29</f>
        <v>51149.95775999999</v>
      </c>
      <c r="R44" s="13"/>
      <c r="S44" s="13"/>
      <c r="T44" s="77"/>
    </row>
    <row r="45" spans="1:23" x14ac:dyDescent="0.2">
      <c r="A45" s="1222" t="s">
        <v>445</v>
      </c>
      <c r="B45" s="1223"/>
      <c r="C45" s="68">
        <v>20000</v>
      </c>
      <c r="D45" s="69">
        <f t="shared" si="0"/>
        <v>0.5</v>
      </c>
      <c r="E45" s="70">
        <v>1</v>
      </c>
      <c r="F45" s="70">
        <v>1</v>
      </c>
      <c r="G45" s="335">
        <f t="shared" si="1"/>
        <v>360000</v>
      </c>
      <c r="K45" s="1321" t="s">
        <v>444</v>
      </c>
      <c r="L45" s="1322"/>
      <c r="M45" s="346">
        <f>M41/B22</f>
        <v>9.3143823679999987E-2</v>
      </c>
      <c r="N45" s="348"/>
      <c r="O45" s="13"/>
      <c r="P45" s="13"/>
      <c r="Q45" s="13"/>
      <c r="R45" s="13"/>
      <c r="S45" s="13"/>
      <c r="T45" s="77"/>
    </row>
    <row r="46" spans="1:23" ht="13.5" thickBot="1" x14ac:dyDescent="0.25">
      <c r="A46" s="1222" t="s">
        <v>443</v>
      </c>
      <c r="B46" s="1223"/>
      <c r="C46" s="68">
        <v>13000</v>
      </c>
      <c r="D46" s="69">
        <f t="shared" si="0"/>
        <v>0.5</v>
      </c>
      <c r="E46" s="70">
        <v>1</v>
      </c>
      <c r="F46" s="70">
        <v>0.8</v>
      </c>
      <c r="G46" s="335">
        <f t="shared" si="1"/>
        <v>187200</v>
      </c>
      <c r="K46" s="1319" t="s">
        <v>442</v>
      </c>
      <c r="L46" s="1320"/>
      <c r="M46" s="347">
        <f>(F26*M45)/2</f>
        <v>116.27474660452729</v>
      </c>
      <c r="N46" s="348"/>
      <c r="O46" s="13"/>
      <c r="P46" s="13"/>
      <c r="Q46" s="1329" t="s">
        <v>758</v>
      </c>
      <c r="R46" s="1329"/>
      <c r="S46" s="1329"/>
      <c r="T46" s="77"/>
    </row>
    <row r="47" spans="1:23" x14ac:dyDescent="0.2">
      <c r="A47" s="1222" t="s">
        <v>441</v>
      </c>
      <c r="B47" s="1223"/>
      <c r="C47" s="68">
        <v>12000</v>
      </c>
      <c r="D47" s="69">
        <f t="shared" si="0"/>
        <v>0.5</v>
      </c>
      <c r="E47" s="70">
        <v>1</v>
      </c>
      <c r="F47" s="70">
        <v>0.33329999999999999</v>
      </c>
      <c r="G47" s="335">
        <f t="shared" si="1"/>
        <v>71992.799999999988</v>
      </c>
      <c r="J47" s="13"/>
      <c r="K47" s="78"/>
      <c r="L47" s="13"/>
      <c r="M47" s="13"/>
      <c r="N47" s="13"/>
      <c r="O47" s="13"/>
      <c r="P47" s="13"/>
      <c r="Q47" s="1329"/>
      <c r="R47" s="1329"/>
      <c r="S47" s="1329"/>
      <c r="T47" s="77"/>
    </row>
    <row r="48" spans="1:23" x14ac:dyDescent="0.2">
      <c r="A48" s="1222" t="s">
        <v>532</v>
      </c>
      <c r="B48" s="1223"/>
      <c r="C48" s="68">
        <v>12000</v>
      </c>
      <c r="D48" s="69">
        <f t="shared" si="0"/>
        <v>0.5</v>
      </c>
      <c r="E48" s="70">
        <v>1</v>
      </c>
      <c r="F48" s="70">
        <v>0.66659999999999997</v>
      </c>
      <c r="G48" s="335">
        <f t="shared" si="1"/>
        <v>143985.59999999998</v>
      </c>
      <c r="J48" s="13"/>
      <c r="K48" s="78"/>
      <c r="L48" s="13"/>
      <c r="M48" s="13"/>
      <c r="N48" s="13"/>
      <c r="O48" s="13"/>
      <c r="P48" s="13"/>
      <c r="Q48" s="13"/>
      <c r="R48" s="13"/>
      <c r="S48" s="13"/>
      <c r="T48" s="77"/>
      <c r="W48" s="13"/>
    </row>
    <row r="49" spans="1:30" ht="12.75" customHeight="1" x14ac:dyDescent="0.2">
      <c r="A49" s="1222"/>
      <c r="B49" s="1223"/>
      <c r="C49" s="68"/>
      <c r="D49" s="69"/>
      <c r="E49" s="70"/>
      <c r="F49" s="70"/>
      <c r="G49" s="335"/>
      <c r="J49" s="13"/>
      <c r="K49" s="78"/>
      <c r="L49" s="13"/>
      <c r="M49" s="13"/>
      <c r="N49" s="13"/>
      <c r="O49" s="13"/>
      <c r="P49" s="13"/>
      <c r="Q49" s="13"/>
      <c r="R49" s="13"/>
      <c r="S49" s="13"/>
      <c r="T49" s="77"/>
      <c r="U49" s="13"/>
      <c r="V49" s="13"/>
      <c r="W49" s="13"/>
    </row>
    <row r="50" spans="1:30" ht="13.5" thickBot="1" x14ac:dyDescent="0.25">
      <c r="A50" s="1224" t="s">
        <v>152</v>
      </c>
      <c r="B50" s="1225"/>
      <c r="C50" s="327"/>
      <c r="D50" s="328"/>
      <c r="E50" s="329"/>
      <c r="F50" s="329"/>
      <c r="G50" s="336">
        <f>SUM(G41:G48)</f>
        <v>1771115.4</v>
      </c>
      <c r="J50" s="13"/>
      <c r="K50" s="87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6"/>
    </row>
    <row r="51" spans="1:30" ht="13.5" thickBot="1" x14ac:dyDescent="0.25">
      <c r="A51" s="1207"/>
      <c r="B51" s="1207"/>
      <c r="C51" s="65"/>
      <c r="D51" s="66"/>
      <c r="E51" s="67"/>
      <c r="F51" s="67"/>
      <c r="G51" s="71"/>
      <c r="H51" s="13"/>
      <c r="J51" s="13"/>
      <c r="K51" s="78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77"/>
    </row>
    <row r="52" spans="1:30" ht="13.5" thickBot="1" x14ac:dyDescent="0.25">
      <c r="A52" s="1207"/>
      <c r="B52" s="1207"/>
      <c r="C52" s="65"/>
      <c r="D52" s="66"/>
      <c r="E52" s="67"/>
      <c r="F52" s="67"/>
      <c r="G52" s="71"/>
      <c r="H52" s="13"/>
      <c r="K52" s="1231" t="s">
        <v>440</v>
      </c>
      <c r="L52" s="1232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77"/>
    </row>
    <row r="53" spans="1:30" ht="13.5" thickBot="1" x14ac:dyDescent="0.25">
      <c r="A53" s="1207"/>
      <c r="B53" s="1207"/>
      <c r="C53" s="65"/>
      <c r="D53" s="66"/>
      <c r="E53" s="67"/>
      <c r="F53" s="67"/>
      <c r="G53" s="71"/>
      <c r="H53" s="13"/>
      <c r="K53" s="1233" t="s">
        <v>213</v>
      </c>
      <c r="L53" s="123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 t="s">
        <v>554</v>
      </c>
      <c r="Z53" s="13"/>
      <c r="AA53" s="13"/>
      <c r="AB53" s="13"/>
      <c r="AC53" s="13"/>
      <c r="AD53" s="77"/>
    </row>
    <row r="54" spans="1:30" ht="13.5" customHeight="1" thickBot="1" x14ac:dyDescent="0.25">
      <c r="A54" s="1207"/>
      <c r="B54" s="1207"/>
      <c r="C54" s="1217" t="s">
        <v>534</v>
      </c>
      <c r="D54" s="1217"/>
      <c r="E54" s="1217"/>
      <c r="F54" s="1217"/>
      <c r="G54" s="1217"/>
      <c r="H54" s="1217"/>
      <c r="I54" s="1217"/>
      <c r="K54" s="78"/>
      <c r="L54" s="13"/>
      <c r="M54" s="13"/>
      <c r="N54" s="13"/>
      <c r="O54" s="13"/>
      <c r="P54" s="13"/>
      <c r="Q54" s="13"/>
      <c r="R54" s="13"/>
      <c r="S54" s="55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77"/>
    </row>
    <row r="55" spans="1:30" x14ac:dyDescent="0.2">
      <c r="A55" s="1207"/>
      <c r="B55" s="1207"/>
      <c r="C55" s="1217"/>
      <c r="D55" s="1217"/>
      <c r="E55" s="1217"/>
      <c r="F55" s="1217"/>
      <c r="G55" s="1217"/>
      <c r="H55" s="1217"/>
      <c r="I55" s="1217"/>
      <c r="K55" s="1341" t="s">
        <v>403</v>
      </c>
      <c r="L55" s="1342"/>
      <c r="M55" s="1354" t="s">
        <v>535</v>
      </c>
      <c r="N55" s="1261" t="s">
        <v>536</v>
      </c>
      <c r="O55" s="1150" t="s">
        <v>540</v>
      </c>
      <c r="P55" s="1150" t="s">
        <v>537</v>
      </c>
      <c r="Q55" s="1150" t="s">
        <v>538</v>
      </c>
      <c r="R55" s="1150" t="s">
        <v>539</v>
      </c>
      <c r="S55" s="1363" t="s">
        <v>546</v>
      </c>
      <c r="T55" s="1361" t="s">
        <v>152</v>
      </c>
      <c r="U55" s="13"/>
      <c r="V55" s="13"/>
      <c r="W55" s="13"/>
      <c r="X55" s="13"/>
      <c r="Y55" s="13"/>
      <c r="Z55" s="13"/>
      <c r="AA55" s="13"/>
      <c r="AB55" s="13"/>
      <c r="AC55" s="13"/>
      <c r="AD55" s="77"/>
    </row>
    <row r="56" spans="1:30" ht="13.5" thickBot="1" x14ac:dyDescent="0.25">
      <c r="A56" s="13"/>
      <c r="B56" s="13"/>
      <c r="C56" s="1217"/>
      <c r="D56" s="1217"/>
      <c r="E56" s="1217"/>
      <c r="F56" s="1217"/>
      <c r="G56" s="1217"/>
      <c r="H56" s="1217"/>
      <c r="I56" s="1217"/>
      <c r="K56" s="1343"/>
      <c r="L56" s="1344"/>
      <c r="M56" s="1355"/>
      <c r="N56" s="1262"/>
      <c r="O56" s="1151"/>
      <c r="P56" s="1151"/>
      <c r="Q56" s="1151"/>
      <c r="R56" s="1151"/>
      <c r="S56" s="1364"/>
      <c r="T56" s="1362"/>
      <c r="U56" s="13"/>
      <c r="V56" s="13"/>
      <c r="W56" s="13"/>
      <c r="X56" s="13"/>
      <c r="Y56" s="343"/>
      <c r="Z56" s="343" t="s">
        <v>553</v>
      </c>
      <c r="AA56" s="343" t="s">
        <v>298</v>
      </c>
      <c r="AB56" s="13"/>
      <c r="AC56" s="13"/>
      <c r="AD56" s="77"/>
    </row>
    <row r="57" spans="1:30" ht="15" x14ac:dyDescent="0.2">
      <c r="A57" s="31"/>
      <c r="K57" s="1208" t="s">
        <v>439</v>
      </c>
      <c r="L57" s="1209"/>
      <c r="M57" s="367">
        <f>AA69*AA58</f>
        <v>32850</v>
      </c>
      <c r="N57" s="368">
        <f>AA69*AA59</f>
        <v>9855</v>
      </c>
      <c r="O57" s="368">
        <f>AA60*AA69</f>
        <v>657</v>
      </c>
      <c r="P57" s="368">
        <f>AA61*AA69</f>
        <v>2628</v>
      </c>
      <c r="Q57" s="368">
        <f>AA62*AA69</f>
        <v>10512</v>
      </c>
      <c r="R57" s="368">
        <f>AA69*AA63</f>
        <v>6570</v>
      </c>
      <c r="S57" s="369">
        <f>AA57*AA69</f>
        <v>2628</v>
      </c>
      <c r="T57" s="96"/>
      <c r="U57" s="13"/>
      <c r="V57" s="13"/>
      <c r="W57" s="13"/>
      <c r="X57" s="13"/>
      <c r="Y57" s="343" t="s">
        <v>546</v>
      </c>
      <c r="Z57" s="70">
        <v>4</v>
      </c>
      <c r="AA57" s="392">
        <f>$Z$57/$Z$64</f>
        <v>0.04</v>
      </c>
      <c r="AB57" s="13"/>
      <c r="AC57" s="13"/>
      <c r="AD57" s="77"/>
    </row>
    <row r="58" spans="1:30" x14ac:dyDescent="0.2">
      <c r="A58" s="49"/>
      <c r="B58" s="49"/>
      <c r="K58" s="1211" t="s">
        <v>438</v>
      </c>
      <c r="L58" s="1163"/>
      <c r="M58" s="1155">
        <f>B22</f>
        <v>600000</v>
      </c>
      <c r="N58" s="1156"/>
      <c r="O58" s="1156"/>
      <c r="P58" s="1156"/>
      <c r="Q58" s="1156"/>
      <c r="R58" s="1156"/>
      <c r="S58" s="1157"/>
      <c r="T58" s="97"/>
      <c r="U58" s="13"/>
      <c r="V58" s="13"/>
      <c r="W58" s="13"/>
      <c r="X58" s="13"/>
      <c r="Y58" s="343" t="s">
        <v>535</v>
      </c>
      <c r="Z58" s="70">
        <v>50</v>
      </c>
      <c r="AA58" s="392">
        <f>$Z$58/$Z$64</f>
        <v>0.5</v>
      </c>
      <c r="AB58" s="13"/>
      <c r="AC58" s="13"/>
      <c r="AD58" s="77"/>
    </row>
    <row r="59" spans="1:30" ht="13.5" thickBot="1" x14ac:dyDescent="0.25">
      <c r="A59" s="49"/>
      <c r="B59" s="49"/>
      <c r="K59" s="1211" t="s">
        <v>437</v>
      </c>
      <c r="L59" s="1163"/>
      <c r="M59" s="381">
        <f t="shared" ref="M59:S59" si="2">M57/$M$58</f>
        <v>5.475E-2</v>
      </c>
      <c r="N59" s="382">
        <f t="shared" si="2"/>
        <v>1.6424999999999999E-2</v>
      </c>
      <c r="O59" s="382">
        <f t="shared" si="2"/>
        <v>1.0950000000000001E-3</v>
      </c>
      <c r="P59" s="382">
        <f t="shared" si="2"/>
        <v>4.3800000000000002E-3</v>
      </c>
      <c r="Q59" s="382">
        <f t="shared" si="2"/>
        <v>1.7520000000000001E-2</v>
      </c>
      <c r="R59" s="382">
        <f t="shared" si="2"/>
        <v>1.095E-2</v>
      </c>
      <c r="S59" s="383">
        <f t="shared" si="2"/>
        <v>4.3800000000000002E-3</v>
      </c>
      <c r="T59" s="98"/>
      <c r="U59" s="13"/>
      <c r="V59" s="13"/>
      <c r="W59" s="13"/>
      <c r="X59" s="13"/>
      <c r="Y59" s="343" t="s">
        <v>536</v>
      </c>
      <c r="Z59" s="70">
        <v>15</v>
      </c>
      <c r="AA59" s="392">
        <f>$Z$59/$Z$64</f>
        <v>0.15</v>
      </c>
      <c r="AB59" s="13"/>
      <c r="AC59" s="13"/>
      <c r="AD59" s="77"/>
    </row>
    <row r="60" spans="1:30" ht="13.5" thickBot="1" x14ac:dyDescent="0.25">
      <c r="A60" s="48" t="s">
        <v>436</v>
      </c>
      <c r="B60" s="47"/>
      <c r="C60" s="47"/>
      <c r="D60" s="47"/>
      <c r="E60" s="46"/>
      <c r="K60" s="1211" t="s">
        <v>374</v>
      </c>
      <c r="L60" s="1163"/>
      <c r="M60" s="373">
        <v>160</v>
      </c>
      <c r="N60" s="374">
        <v>34</v>
      </c>
      <c r="O60" s="374">
        <v>250</v>
      </c>
      <c r="P60" s="374">
        <v>27.44</v>
      </c>
      <c r="Q60" s="374">
        <v>60</v>
      </c>
      <c r="R60" s="374">
        <v>100</v>
      </c>
      <c r="S60" s="375">
        <v>20</v>
      </c>
      <c r="T60" s="99"/>
      <c r="U60" s="13"/>
      <c r="V60" s="13"/>
      <c r="W60" s="13"/>
      <c r="X60" s="13"/>
      <c r="Y60" s="343" t="s">
        <v>759</v>
      </c>
      <c r="Z60" s="70">
        <v>1</v>
      </c>
      <c r="AA60" s="392">
        <f>$Z$60/$Z$64</f>
        <v>0.01</v>
      </c>
      <c r="AB60" s="13"/>
      <c r="AC60" s="13"/>
      <c r="AD60" s="77"/>
    </row>
    <row r="61" spans="1:30" x14ac:dyDescent="0.2">
      <c r="K61" s="1211" t="s">
        <v>435</v>
      </c>
      <c r="L61" s="1163"/>
      <c r="M61" s="376">
        <f t="shared" ref="M61:S61" si="3">M57*M60</f>
        <v>5256000</v>
      </c>
      <c r="N61" s="119">
        <f t="shared" si="3"/>
        <v>335070</v>
      </c>
      <c r="O61" s="119">
        <f t="shared" si="3"/>
        <v>164250</v>
      </c>
      <c r="P61" s="119">
        <f t="shared" si="3"/>
        <v>72112.320000000007</v>
      </c>
      <c r="Q61" s="119">
        <f t="shared" si="3"/>
        <v>630720</v>
      </c>
      <c r="R61" s="119">
        <f t="shared" si="3"/>
        <v>657000</v>
      </c>
      <c r="S61" s="377">
        <f t="shared" si="3"/>
        <v>52560</v>
      </c>
      <c r="T61" s="100">
        <f>SUM(M61:R61)</f>
        <v>7115152.3200000003</v>
      </c>
      <c r="U61" s="13"/>
      <c r="V61" s="13"/>
      <c r="W61" s="13"/>
      <c r="X61" s="13"/>
      <c r="Y61" s="343" t="s">
        <v>537</v>
      </c>
      <c r="Z61" s="70">
        <v>4</v>
      </c>
      <c r="AA61" s="392">
        <f>$Z$61/$Z$64</f>
        <v>0.04</v>
      </c>
      <c r="AB61" s="13"/>
      <c r="AC61" s="13"/>
      <c r="AD61" s="77"/>
    </row>
    <row r="62" spans="1:30" ht="13.5" thickBot="1" x14ac:dyDescent="0.25">
      <c r="A62" s="31"/>
      <c r="K62" s="1214" t="s">
        <v>418</v>
      </c>
      <c r="L62" s="1215"/>
      <c r="M62" s="378">
        <f t="shared" ref="M62:S62" si="4">M61/$M$58</f>
        <v>8.76</v>
      </c>
      <c r="N62" s="379">
        <f t="shared" si="4"/>
        <v>0.55845</v>
      </c>
      <c r="O62" s="379">
        <f t="shared" si="4"/>
        <v>0.27374999999999999</v>
      </c>
      <c r="P62" s="379">
        <f t="shared" si="4"/>
        <v>0.12018720000000001</v>
      </c>
      <c r="Q62" s="379">
        <f t="shared" si="4"/>
        <v>1.0511999999999999</v>
      </c>
      <c r="R62" s="379">
        <f t="shared" si="4"/>
        <v>1.095</v>
      </c>
      <c r="S62" s="380">
        <f t="shared" si="4"/>
        <v>8.7599999999999997E-2</v>
      </c>
      <c r="T62" s="101">
        <f>SUM(M62:R62)</f>
        <v>11.858587200000001</v>
      </c>
      <c r="U62" s="13"/>
      <c r="V62" s="13"/>
      <c r="W62" s="13"/>
      <c r="X62" s="13"/>
      <c r="Y62" s="343" t="s">
        <v>538</v>
      </c>
      <c r="Z62" s="70">
        <v>16</v>
      </c>
      <c r="AA62" s="392">
        <f>$Z$62/$Z$64</f>
        <v>0.16</v>
      </c>
      <c r="AB62" s="13"/>
      <c r="AC62" s="13"/>
      <c r="AD62" s="77"/>
    </row>
    <row r="63" spans="1:30" x14ac:dyDescent="0.2">
      <c r="A63" s="1189" t="s">
        <v>434</v>
      </c>
      <c r="B63" s="1210"/>
      <c r="C63" s="42">
        <v>4</v>
      </c>
      <c r="D63" s="395" t="s">
        <v>433</v>
      </c>
      <c r="K63" s="78"/>
      <c r="L63" s="13"/>
      <c r="M63" s="13"/>
      <c r="N63" s="13"/>
      <c r="O63" s="13"/>
      <c r="P63" s="13"/>
      <c r="Q63" s="13"/>
      <c r="R63" s="13"/>
      <c r="S63" s="55"/>
      <c r="T63" s="13"/>
      <c r="U63" s="13"/>
      <c r="V63" s="74"/>
      <c r="W63" s="74"/>
      <c r="X63" s="13"/>
      <c r="Y63" s="343" t="s">
        <v>539</v>
      </c>
      <c r="Z63" s="70">
        <v>10</v>
      </c>
      <c r="AA63" s="392">
        <f>$Z$63/$Z$64</f>
        <v>0.1</v>
      </c>
      <c r="AB63" s="13"/>
      <c r="AC63" s="13"/>
      <c r="AD63" s="77"/>
    </row>
    <row r="64" spans="1:30" ht="13.5" thickBot="1" x14ac:dyDescent="0.25">
      <c r="A64" s="1189" t="s">
        <v>432</v>
      </c>
      <c r="B64" s="1210"/>
      <c r="C64" s="42">
        <v>1</v>
      </c>
      <c r="D64" s="44"/>
      <c r="K64" s="78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74"/>
      <c r="W64" s="74"/>
      <c r="X64" s="13"/>
      <c r="Y64" s="343" t="s">
        <v>560</v>
      </c>
      <c r="Z64" s="70">
        <f>SUM(Z57:Z63)</f>
        <v>100</v>
      </c>
      <c r="AA64" s="392">
        <f>$Z$64/$Z$64</f>
        <v>1</v>
      </c>
      <c r="AB64" s="13"/>
      <c r="AC64" s="13"/>
      <c r="AD64" s="77"/>
    </row>
    <row r="65" spans="1:30" ht="13.5" thickBot="1" x14ac:dyDescent="0.25">
      <c r="A65" s="1189" t="s">
        <v>431</v>
      </c>
      <c r="B65" s="1210"/>
      <c r="C65" s="42">
        <v>8</v>
      </c>
      <c r="D65" s="44"/>
      <c r="K65" s="1313" t="s">
        <v>48</v>
      </c>
      <c r="L65" s="1290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77"/>
    </row>
    <row r="66" spans="1:30" ht="15" x14ac:dyDescent="0.2">
      <c r="A66" s="1189" t="s">
        <v>430</v>
      </c>
      <c r="B66" s="1210"/>
      <c r="C66" s="42">
        <v>1</v>
      </c>
      <c r="D66" s="44"/>
      <c r="F66" s="60"/>
      <c r="G66" s="60"/>
      <c r="H66" s="60"/>
      <c r="I66" s="60"/>
      <c r="K66" s="1212" t="s">
        <v>429</v>
      </c>
      <c r="L66" s="1213"/>
      <c r="M66" s="387">
        <f>AA58*AA67</f>
        <v>29100</v>
      </c>
      <c r="N66" s="384">
        <f>AA59*AA67</f>
        <v>8730</v>
      </c>
      <c r="O66" s="384">
        <f>AA67*AA60</f>
        <v>582</v>
      </c>
      <c r="P66" s="384">
        <f>AA67*AA61</f>
        <v>2328</v>
      </c>
      <c r="Q66" s="385">
        <f>AA67*AA62</f>
        <v>9312</v>
      </c>
      <c r="R66" s="384">
        <f>AA63*AA67</f>
        <v>5820</v>
      </c>
      <c r="S66" s="386">
        <f>AA67*AA57</f>
        <v>2328</v>
      </c>
      <c r="T66" s="13"/>
      <c r="U66" s="13"/>
      <c r="V66" s="13"/>
      <c r="W66" s="13"/>
      <c r="X66" s="13"/>
      <c r="Y66" s="365" t="s">
        <v>513</v>
      </c>
      <c r="Z66" s="366" t="s">
        <v>555</v>
      </c>
      <c r="AA66" s="366" t="s">
        <v>557</v>
      </c>
      <c r="AB66" s="13"/>
      <c r="AC66" s="13"/>
      <c r="AD66" s="77"/>
    </row>
    <row r="67" spans="1:30" ht="12.75" customHeight="1" x14ac:dyDescent="0.2">
      <c r="A67" s="1189" t="s">
        <v>428</v>
      </c>
      <c r="B67" s="1210"/>
      <c r="C67" s="42">
        <v>200</v>
      </c>
      <c r="D67" s="395" t="s">
        <v>427</v>
      </c>
      <c r="F67" s="1216" t="s">
        <v>533</v>
      </c>
      <c r="G67" s="1216"/>
      <c r="H67" s="1216"/>
      <c r="I67" s="1216"/>
      <c r="K67" s="1164" t="s">
        <v>426</v>
      </c>
      <c r="L67" s="1165"/>
      <c r="M67" s="1205">
        <f t="shared" ref="M67:S67" si="5">M59*$F$22</f>
        <v>28401.5625</v>
      </c>
      <c r="N67" s="1206">
        <f t="shared" si="5"/>
        <v>8520.46875</v>
      </c>
      <c r="O67" s="1206">
        <f t="shared" si="5"/>
        <v>568.03125</v>
      </c>
      <c r="P67" s="1206">
        <f t="shared" si="5"/>
        <v>2272.125</v>
      </c>
      <c r="Q67" s="1358">
        <f t="shared" si="5"/>
        <v>9088.5</v>
      </c>
      <c r="R67" s="1307">
        <f t="shared" si="5"/>
        <v>5680.3125</v>
      </c>
      <c r="S67" s="1308">
        <f t="shared" si="5"/>
        <v>2272.125</v>
      </c>
      <c r="T67" s="64"/>
      <c r="U67" s="13"/>
      <c r="V67" s="13"/>
      <c r="W67" s="13"/>
      <c r="X67" s="1339" t="s">
        <v>48</v>
      </c>
      <c r="Y67" s="81" t="s">
        <v>558</v>
      </c>
      <c r="Z67" s="195">
        <v>582000</v>
      </c>
      <c r="AA67" s="195">
        <f>Z67/10</f>
        <v>58200</v>
      </c>
      <c r="AB67" s="13"/>
      <c r="AC67" s="13"/>
      <c r="AD67" s="77"/>
    </row>
    <row r="68" spans="1:30" x14ac:dyDescent="0.2">
      <c r="A68" s="31"/>
      <c r="F68" s="60"/>
      <c r="G68" s="60"/>
      <c r="H68" s="60"/>
      <c r="I68" s="60"/>
      <c r="K68" s="1166"/>
      <c r="L68" s="1167"/>
      <c r="M68" s="1205"/>
      <c r="N68" s="1206"/>
      <c r="O68" s="1206"/>
      <c r="P68" s="1206"/>
      <c r="Q68" s="1358"/>
      <c r="R68" s="1307"/>
      <c r="S68" s="1308"/>
      <c r="T68" s="64"/>
      <c r="U68" s="13"/>
      <c r="V68" s="13"/>
      <c r="W68" s="13"/>
      <c r="X68" s="1340"/>
      <c r="Y68" s="81" t="s">
        <v>559</v>
      </c>
      <c r="Z68" s="195">
        <v>3000</v>
      </c>
      <c r="AA68" s="195">
        <v>300</v>
      </c>
      <c r="AB68" s="13"/>
      <c r="AC68" s="13"/>
      <c r="AD68" s="77"/>
    </row>
    <row r="69" spans="1:30" ht="15" x14ac:dyDescent="0.2">
      <c r="A69" s="1189" t="s">
        <v>425</v>
      </c>
      <c r="B69" s="1189"/>
      <c r="C69" s="1189"/>
      <c r="D69" s="45">
        <f>C63*C64*C65*C66*C67</f>
        <v>6400</v>
      </c>
      <c r="K69" s="1162" t="s">
        <v>424</v>
      </c>
      <c r="L69" s="1163"/>
      <c r="M69" s="388">
        <f>AA58*AA68</f>
        <v>150</v>
      </c>
      <c r="N69" s="102">
        <f>AA59*AA68</f>
        <v>45</v>
      </c>
      <c r="O69" s="102">
        <f>AA60*AA68</f>
        <v>3</v>
      </c>
      <c r="P69" s="102">
        <f>AA61*AA68</f>
        <v>12</v>
      </c>
      <c r="Q69" s="103">
        <f>AA62*AA68</f>
        <v>48</v>
      </c>
      <c r="R69" s="102">
        <f>AA63*AA68</f>
        <v>30</v>
      </c>
      <c r="S69" s="104">
        <f>AA57*AA68</f>
        <v>12</v>
      </c>
      <c r="T69" s="61"/>
      <c r="U69" s="13"/>
      <c r="V69" s="13"/>
      <c r="W69" s="13"/>
      <c r="X69" s="364" t="s">
        <v>556</v>
      </c>
      <c r="Y69" s="23" t="s">
        <v>558</v>
      </c>
      <c r="Z69" s="195">
        <v>657000</v>
      </c>
      <c r="AA69" s="195">
        <f>Z69/10</f>
        <v>65700</v>
      </c>
      <c r="AB69" s="13"/>
      <c r="AC69" s="13"/>
      <c r="AD69" s="77"/>
    </row>
    <row r="70" spans="1:30" ht="13.5" thickBot="1" x14ac:dyDescent="0.25">
      <c r="A70" s="31"/>
      <c r="K70" s="1164" t="s">
        <v>423</v>
      </c>
      <c r="L70" s="1165"/>
      <c r="M70" s="1178">
        <f t="shared" ref="M70:S70" si="6">M66-M67-M69</f>
        <v>548.4375</v>
      </c>
      <c r="N70" s="1158">
        <f t="shared" si="6"/>
        <v>164.53125</v>
      </c>
      <c r="O70" s="1158">
        <f t="shared" si="6"/>
        <v>10.96875</v>
      </c>
      <c r="P70" s="1158">
        <f t="shared" si="6"/>
        <v>43.875</v>
      </c>
      <c r="Q70" s="1160">
        <f t="shared" si="6"/>
        <v>175.5</v>
      </c>
      <c r="R70" s="1146">
        <f t="shared" si="6"/>
        <v>109.6875</v>
      </c>
      <c r="S70" s="1359">
        <f t="shared" si="6"/>
        <v>43.875</v>
      </c>
      <c r="T70" s="62"/>
      <c r="U70" s="13"/>
      <c r="V70" s="13"/>
      <c r="W70" s="13"/>
      <c r="X70" s="13"/>
      <c r="Y70" s="13"/>
      <c r="Z70" s="13"/>
      <c r="AA70" s="13" t="s">
        <v>742</v>
      </c>
      <c r="AB70" s="13"/>
      <c r="AC70" s="13"/>
      <c r="AD70" s="77"/>
    </row>
    <row r="71" spans="1:30" ht="13.5" thickBot="1" x14ac:dyDescent="0.25">
      <c r="A71" s="26" t="s">
        <v>403</v>
      </c>
      <c r="K71" s="1365"/>
      <c r="L71" s="1366"/>
      <c r="M71" s="1179"/>
      <c r="N71" s="1159"/>
      <c r="O71" s="1159"/>
      <c r="P71" s="1159"/>
      <c r="Q71" s="1161"/>
      <c r="R71" s="1147"/>
      <c r="S71" s="1360"/>
      <c r="T71" s="63"/>
      <c r="U71" s="13"/>
      <c r="V71" s="13"/>
      <c r="W71" s="13"/>
      <c r="X71" s="13"/>
      <c r="Y71" s="13"/>
      <c r="Z71" s="13"/>
      <c r="AA71" s="13"/>
      <c r="AB71" s="13"/>
      <c r="AC71" s="13"/>
      <c r="AD71" s="77"/>
    </row>
    <row r="72" spans="1:30" ht="13.5" thickBot="1" x14ac:dyDescent="0.25">
      <c r="A72" s="1368" t="s">
        <v>419</v>
      </c>
      <c r="B72" s="1369"/>
      <c r="C72" s="397">
        <f>D69+G50</f>
        <v>1777515.4</v>
      </c>
      <c r="D72" s="44"/>
      <c r="K72" s="78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77"/>
    </row>
    <row r="73" spans="1:30" x14ac:dyDescent="0.2">
      <c r="A73" s="1370" t="s">
        <v>422</v>
      </c>
      <c r="B73" s="1371"/>
      <c r="C73" s="394">
        <f>C72/B22</f>
        <v>2.9625256666666666</v>
      </c>
      <c r="D73" s="396" t="s">
        <v>530</v>
      </c>
      <c r="K73" s="1170" t="s">
        <v>392</v>
      </c>
      <c r="L73" s="1171"/>
      <c r="M73" s="94">
        <f t="shared" ref="M73:S73" si="7">M66*M60</f>
        <v>4656000</v>
      </c>
      <c r="N73" s="94">
        <f t="shared" si="7"/>
        <v>296820</v>
      </c>
      <c r="O73" s="94">
        <f t="shared" si="7"/>
        <v>145500</v>
      </c>
      <c r="P73" s="94">
        <f t="shared" si="7"/>
        <v>63880.32</v>
      </c>
      <c r="Q73" s="94">
        <f t="shared" si="7"/>
        <v>558720</v>
      </c>
      <c r="R73" s="94">
        <f t="shared" si="7"/>
        <v>582000</v>
      </c>
      <c r="S73" s="94">
        <f t="shared" si="7"/>
        <v>46560</v>
      </c>
      <c r="T73" s="95">
        <f>SUM(M73:S73)</f>
        <v>6349480.3200000003</v>
      </c>
      <c r="U73" s="13"/>
      <c r="V73" s="13"/>
      <c r="W73" s="13"/>
      <c r="X73" s="13"/>
      <c r="Y73" s="13"/>
      <c r="Z73" s="13"/>
      <c r="AA73" s="13"/>
      <c r="AB73" s="13"/>
      <c r="AC73" s="13"/>
      <c r="AD73" s="77"/>
    </row>
    <row r="74" spans="1:30" x14ac:dyDescent="0.2">
      <c r="A74" s="1372" t="s">
        <v>416</v>
      </c>
      <c r="B74" s="1373"/>
      <c r="C74" s="398">
        <f>C73*(F26/2)</f>
        <v>3698.2261151797607</v>
      </c>
      <c r="D74" s="44"/>
      <c r="K74" s="1168" t="s">
        <v>421</v>
      </c>
      <c r="L74" s="1169"/>
      <c r="M74" s="1148">
        <f t="shared" ref="M74:S74" si="8">M67*M60</f>
        <v>4544250</v>
      </c>
      <c r="N74" s="1148">
        <f t="shared" si="8"/>
        <v>289695.9375</v>
      </c>
      <c r="O74" s="1148">
        <f t="shared" si="8"/>
        <v>142007.8125</v>
      </c>
      <c r="P74" s="1148">
        <f t="shared" si="8"/>
        <v>62347.11</v>
      </c>
      <c r="Q74" s="1148">
        <f t="shared" si="8"/>
        <v>545310</v>
      </c>
      <c r="R74" s="1148">
        <f t="shared" si="8"/>
        <v>568031.25</v>
      </c>
      <c r="S74" s="1148">
        <f t="shared" si="8"/>
        <v>45442.5</v>
      </c>
      <c r="T74" s="1180">
        <f>SUM(M74:S75)</f>
        <v>6197084.6100000003</v>
      </c>
      <c r="U74" s="13"/>
      <c r="V74" s="13"/>
      <c r="W74" s="13"/>
      <c r="X74" s="13"/>
      <c r="Y74" s="13"/>
      <c r="Z74" s="13"/>
      <c r="AA74" s="13"/>
      <c r="AB74" s="13"/>
      <c r="AC74" s="13"/>
      <c r="AD74" s="77"/>
    </row>
    <row r="75" spans="1:30" ht="13.5" thickBot="1" x14ac:dyDescent="0.25">
      <c r="A75" s="31"/>
      <c r="C75" s="44"/>
      <c r="D75" s="44"/>
      <c r="K75" s="1168"/>
      <c r="L75" s="1169"/>
      <c r="M75" s="1148"/>
      <c r="N75" s="1148"/>
      <c r="O75" s="1148"/>
      <c r="P75" s="1148"/>
      <c r="Q75" s="1148"/>
      <c r="R75" s="1148"/>
      <c r="S75" s="1148"/>
      <c r="T75" s="1180"/>
      <c r="U75" s="13"/>
      <c r="V75" s="13"/>
      <c r="W75" s="13"/>
      <c r="X75" s="13"/>
      <c r="Y75" s="13"/>
      <c r="Z75" s="13"/>
      <c r="AA75" s="13"/>
      <c r="AB75" s="13"/>
      <c r="AC75" s="13"/>
      <c r="AD75" s="77"/>
    </row>
    <row r="76" spans="1:30" ht="13.5" thickBot="1" x14ac:dyDescent="0.25">
      <c r="A76" s="32" t="s">
        <v>48</v>
      </c>
      <c r="C76" s="44"/>
      <c r="D76" s="44"/>
      <c r="K76" s="1181" t="s">
        <v>420</v>
      </c>
      <c r="L76" s="1182"/>
      <c r="M76" s="1148">
        <f t="shared" ref="M76:S76" si="9">M69*M60</f>
        <v>24000</v>
      </c>
      <c r="N76" s="1148">
        <f t="shared" si="9"/>
        <v>1530</v>
      </c>
      <c r="O76" s="1148">
        <f t="shared" si="9"/>
        <v>750</v>
      </c>
      <c r="P76" s="1148">
        <f t="shared" si="9"/>
        <v>329.28000000000003</v>
      </c>
      <c r="Q76" s="1148">
        <f t="shared" si="9"/>
        <v>2880</v>
      </c>
      <c r="R76" s="1148">
        <f t="shared" si="9"/>
        <v>3000</v>
      </c>
      <c r="S76" s="1148">
        <f t="shared" si="9"/>
        <v>240</v>
      </c>
      <c r="T76" s="1180">
        <f>SUM(M76:S77)</f>
        <v>32729.279999999999</v>
      </c>
      <c r="U76" s="13"/>
      <c r="V76" s="13"/>
      <c r="W76" s="13"/>
      <c r="X76" s="13"/>
      <c r="Y76" s="13"/>
      <c r="Z76" s="13"/>
      <c r="AA76" s="13"/>
      <c r="AB76" s="13"/>
      <c r="AC76" s="13"/>
      <c r="AD76" s="77"/>
    </row>
    <row r="77" spans="1:30" x14ac:dyDescent="0.2">
      <c r="A77" s="393" t="s">
        <v>419</v>
      </c>
      <c r="B77" s="298"/>
      <c r="C77" s="107">
        <f>(G50+D69)*0.9</f>
        <v>1599763.8599999999</v>
      </c>
      <c r="D77" s="44"/>
      <c r="K77" s="1181"/>
      <c r="L77" s="1182"/>
      <c r="M77" s="1148"/>
      <c r="N77" s="1148"/>
      <c r="O77" s="1148"/>
      <c r="P77" s="1148"/>
      <c r="Q77" s="1148"/>
      <c r="R77" s="1148"/>
      <c r="S77" s="1148"/>
      <c r="T77" s="1180"/>
      <c r="U77" s="13"/>
      <c r="V77" s="13"/>
      <c r="W77" s="13"/>
      <c r="X77" s="13"/>
      <c r="Y77" s="13"/>
      <c r="Z77" s="13"/>
      <c r="AA77" s="13"/>
      <c r="AB77" s="13"/>
      <c r="AC77" s="13"/>
      <c r="AD77" s="77"/>
    </row>
    <row r="78" spans="1:30" x14ac:dyDescent="0.2">
      <c r="A78" s="298" t="s">
        <v>418</v>
      </c>
      <c r="B78" s="298"/>
      <c r="C78" s="43">
        <f>C77/F22</f>
        <v>3.0838821397590359</v>
      </c>
      <c r="D78" s="395" t="s">
        <v>530</v>
      </c>
      <c r="K78" s="1181" t="s">
        <v>417</v>
      </c>
      <c r="L78" s="1182"/>
      <c r="M78" s="1148">
        <f t="shared" ref="M78:S78" si="10">M70*M60</f>
        <v>87750</v>
      </c>
      <c r="N78" s="1148">
        <f t="shared" si="10"/>
        <v>5594.0625</v>
      </c>
      <c r="O78" s="1148">
        <f t="shared" si="10"/>
        <v>2742.1875</v>
      </c>
      <c r="P78" s="1148">
        <f t="shared" si="10"/>
        <v>1203.93</v>
      </c>
      <c r="Q78" s="1148">
        <f t="shared" si="10"/>
        <v>10530</v>
      </c>
      <c r="R78" s="1148">
        <f t="shared" si="10"/>
        <v>10968.75</v>
      </c>
      <c r="S78" s="1148">
        <f t="shared" si="10"/>
        <v>877.5</v>
      </c>
      <c r="T78" s="1180">
        <f>SUM(M78:S79)</f>
        <v>119666.43</v>
      </c>
      <c r="U78" s="13"/>
      <c r="V78" s="13"/>
      <c r="W78" s="13"/>
      <c r="X78" s="13"/>
      <c r="Y78" s="13"/>
      <c r="Z78" s="13"/>
      <c r="AA78" s="13"/>
      <c r="AB78" s="13"/>
      <c r="AC78" s="13"/>
      <c r="AD78" s="77"/>
    </row>
    <row r="79" spans="1:30" ht="13.5" thickBot="1" x14ac:dyDescent="0.25">
      <c r="A79" s="298" t="s">
        <v>416</v>
      </c>
      <c r="B79" s="298"/>
      <c r="C79" s="107">
        <f>C78*(F26/2)</f>
        <v>3849.7197150786901</v>
      </c>
      <c r="D79" s="41"/>
      <c r="E79" s="29"/>
      <c r="F79" s="29"/>
      <c r="G79" s="29"/>
      <c r="H79" s="29"/>
      <c r="I79" s="29"/>
      <c r="J79" s="29"/>
      <c r="K79" s="1356"/>
      <c r="L79" s="1357"/>
      <c r="M79" s="1149"/>
      <c r="N79" s="1149"/>
      <c r="O79" s="1149"/>
      <c r="P79" s="1149"/>
      <c r="Q79" s="1149"/>
      <c r="R79" s="1149"/>
      <c r="S79" s="1149"/>
      <c r="T79" s="1367"/>
      <c r="U79" s="13"/>
      <c r="V79" s="13"/>
      <c r="W79" s="13"/>
      <c r="X79" s="13"/>
      <c r="Y79" s="13"/>
      <c r="Z79" s="13"/>
      <c r="AA79" s="13"/>
      <c r="AB79" s="13"/>
      <c r="AC79" s="13"/>
      <c r="AD79" s="77"/>
    </row>
    <row r="80" spans="1:30" ht="13.5" thickBot="1" x14ac:dyDescent="0.25">
      <c r="A80" s="40"/>
      <c r="B80" s="39"/>
      <c r="C80" s="39"/>
      <c r="D80" s="39"/>
      <c r="E80" s="39"/>
      <c r="F80" s="39"/>
      <c r="G80" s="39"/>
      <c r="H80" s="39"/>
      <c r="I80" s="39"/>
      <c r="J80" s="39"/>
      <c r="K80" s="79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80"/>
    </row>
    <row r="81" spans="1:22" ht="13.5" thickBot="1" x14ac:dyDescent="0.25">
      <c r="A81" s="32" t="s">
        <v>415</v>
      </c>
      <c r="K81" s="78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77"/>
    </row>
    <row r="82" spans="1:22" x14ac:dyDescent="0.2">
      <c r="A82" s="20" t="s">
        <v>414</v>
      </c>
      <c r="B82" s="18"/>
      <c r="C82" s="18"/>
      <c r="E82" s="1191" t="s">
        <v>544</v>
      </c>
      <c r="F82" s="1191"/>
      <c r="G82" s="38">
        <v>200000</v>
      </c>
      <c r="H82" s="72" t="s">
        <v>545</v>
      </c>
      <c r="K82" s="1313" t="s">
        <v>413</v>
      </c>
      <c r="L82" s="1290"/>
      <c r="M82" s="13"/>
      <c r="N82" s="13"/>
      <c r="O82" s="13"/>
      <c r="P82" s="13"/>
      <c r="Q82" s="13"/>
      <c r="R82" s="13"/>
      <c r="S82" s="13"/>
      <c r="T82" s="13"/>
      <c r="U82" s="13"/>
      <c r="V82" s="77"/>
    </row>
    <row r="83" spans="1:22" ht="13.5" thickBot="1" x14ac:dyDescent="0.25">
      <c r="A83" s="31"/>
      <c r="K83" s="1345" t="s">
        <v>412</v>
      </c>
      <c r="L83" s="1346"/>
      <c r="M83" s="1347"/>
      <c r="N83" s="13"/>
      <c r="O83" s="13"/>
      <c r="P83" s="13"/>
      <c r="Q83" s="13"/>
      <c r="R83" s="13"/>
      <c r="S83" s="13"/>
      <c r="T83" s="13"/>
      <c r="U83" s="13"/>
      <c r="V83" s="77"/>
    </row>
    <row r="84" spans="1:22" ht="13.5" customHeight="1" thickBot="1" x14ac:dyDescent="0.25">
      <c r="A84" s="1196" t="s">
        <v>411</v>
      </c>
      <c r="B84" s="1197"/>
      <c r="C84" s="1198">
        <v>8.0000000000000002E-3</v>
      </c>
      <c r="D84" s="1200" t="s">
        <v>409</v>
      </c>
      <c r="E84" s="1201"/>
      <c r="F84" s="1150" t="s">
        <v>408</v>
      </c>
      <c r="G84" s="1150"/>
      <c r="H84" s="1389">
        <v>0.9</v>
      </c>
      <c r="K84" s="78"/>
      <c r="L84" s="13"/>
      <c r="M84" s="13"/>
      <c r="N84" s="13"/>
      <c r="O84" s="13"/>
      <c r="P84" s="13"/>
      <c r="Q84" s="13"/>
      <c r="R84" s="13"/>
      <c r="S84" s="74"/>
      <c r="T84" s="74"/>
      <c r="U84" s="74"/>
      <c r="V84" s="77"/>
    </row>
    <row r="85" spans="1:22" x14ac:dyDescent="0.2">
      <c r="A85" s="1190"/>
      <c r="B85" s="1191"/>
      <c r="C85" s="1199"/>
      <c r="D85" s="1202"/>
      <c r="E85" s="1203"/>
      <c r="F85" s="1204"/>
      <c r="G85" s="1204"/>
      <c r="H85" s="1152"/>
      <c r="K85" s="1348" t="s">
        <v>403</v>
      </c>
      <c r="L85" s="1349"/>
      <c r="M85" s="1350"/>
      <c r="N85" s="13"/>
      <c r="O85" s="1351" t="s">
        <v>48</v>
      </c>
      <c r="P85" s="1352"/>
      <c r="Q85" s="1353"/>
      <c r="R85" s="13"/>
      <c r="S85" s="13"/>
      <c r="T85" s="13"/>
      <c r="U85" s="13"/>
      <c r="V85" s="77"/>
    </row>
    <row r="86" spans="1:22" ht="12.75" customHeight="1" x14ac:dyDescent="0.2">
      <c r="A86" s="1190" t="s">
        <v>410</v>
      </c>
      <c r="B86" s="1191"/>
      <c r="C86" s="1388">
        <v>0.01</v>
      </c>
      <c r="D86" s="1202" t="s">
        <v>409</v>
      </c>
      <c r="E86" s="1203"/>
      <c r="F86" s="1204" t="s">
        <v>408</v>
      </c>
      <c r="G86" s="1204"/>
      <c r="H86" s="1152">
        <v>0.9</v>
      </c>
      <c r="K86" s="1187" t="s">
        <v>392</v>
      </c>
      <c r="L86" s="1187"/>
      <c r="M86" s="89">
        <f>M97*O97+M98*O98+S98</f>
        <v>271372.83999999997</v>
      </c>
      <c r="N86" s="13"/>
      <c r="O86" s="1188" t="s">
        <v>392</v>
      </c>
      <c r="P86" s="1189"/>
      <c r="Q86" s="90">
        <f>M86*U86</f>
        <v>257804.19799999995</v>
      </c>
      <c r="R86" s="1177" t="s">
        <v>571</v>
      </c>
      <c r="S86" s="1177"/>
      <c r="T86" s="1177"/>
      <c r="U86" s="88">
        <v>0.95</v>
      </c>
      <c r="V86" s="77" t="s">
        <v>570</v>
      </c>
    </row>
    <row r="87" spans="1:22" x14ac:dyDescent="0.2">
      <c r="A87" s="1190"/>
      <c r="B87" s="1191"/>
      <c r="C87" s="1388"/>
      <c r="D87" s="1202"/>
      <c r="E87" s="1203"/>
      <c r="F87" s="1204"/>
      <c r="G87" s="1204"/>
      <c r="H87" s="1152"/>
      <c r="K87" s="1186" t="s">
        <v>422</v>
      </c>
      <c r="L87" s="1186"/>
      <c r="M87" s="86">
        <f>M86/B22</f>
        <v>0.4522880666666666</v>
      </c>
      <c r="N87" s="13"/>
      <c r="O87" s="1185" t="s">
        <v>391</v>
      </c>
      <c r="P87" s="1169"/>
      <c r="Q87" s="90">
        <f>F26*M87/2</f>
        <v>564.60727363515309</v>
      </c>
      <c r="R87" s="13"/>
      <c r="S87" s="13"/>
      <c r="T87" s="13"/>
      <c r="U87" s="13"/>
      <c r="V87" s="77"/>
    </row>
    <row r="88" spans="1:22" ht="12.75" customHeight="1" thickBot="1" x14ac:dyDescent="0.25">
      <c r="A88" s="1190" t="s">
        <v>407</v>
      </c>
      <c r="B88" s="1191"/>
      <c r="C88" s="1194">
        <v>0.03</v>
      </c>
      <c r="D88" s="1374" t="s">
        <v>406</v>
      </c>
      <c r="E88" s="1375"/>
      <c r="F88" s="1204" t="s">
        <v>542</v>
      </c>
      <c r="G88" s="1204"/>
      <c r="H88" s="1152">
        <v>0.5</v>
      </c>
      <c r="K88" s="1175" t="s">
        <v>569</v>
      </c>
      <c r="L88" s="1175"/>
      <c r="M88" s="93">
        <f>F26*M87/2</f>
        <v>564.60727363515309</v>
      </c>
      <c r="N88" s="13"/>
      <c r="O88" s="389" t="s">
        <v>405</v>
      </c>
      <c r="P88" s="298"/>
      <c r="Q88" s="91">
        <f>M87*F22</f>
        <v>234624.43458333329</v>
      </c>
      <c r="R88" s="13"/>
      <c r="S88" s="13"/>
      <c r="T88" s="13"/>
      <c r="U88" s="13"/>
      <c r="V88" s="77"/>
    </row>
    <row r="89" spans="1:22" ht="13.5" thickBot="1" x14ac:dyDescent="0.25">
      <c r="A89" s="1190"/>
      <c r="B89" s="1191"/>
      <c r="C89" s="1194"/>
      <c r="D89" s="1376"/>
      <c r="E89" s="1377"/>
      <c r="F89" s="1204"/>
      <c r="G89" s="1204"/>
      <c r="H89" s="1153"/>
      <c r="K89" s="78"/>
      <c r="L89" s="13"/>
      <c r="M89" s="13"/>
      <c r="N89" s="13"/>
      <c r="O89" s="390" t="s">
        <v>404</v>
      </c>
      <c r="P89" s="391"/>
      <c r="Q89" s="92">
        <f>Q86-Q87-Q88</f>
        <v>22615.156143031491</v>
      </c>
      <c r="R89" s="13"/>
      <c r="S89" s="13"/>
      <c r="T89" s="13"/>
      <c r="U89" s="13"/>
      <c r="V89" s="77"/>
    </row>
    <row r="90" spans="1:22" ht="13.5" thickBot="1" x14ac:dyDescent="0.25">
      <c r="A90" s="1192"/>
      <c r="B90" s="1193"/>
      <c r="C90" s="1195"/>
      <c r="D90" s="1376"/>
      <c r="E90" s="1377"/>
      <c r="F90" s="1204"/>
      <c r="G90" s="1204"/>
      <c r="H90" s="1153"/>
      <c r="K90" s="78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77"/>
    </row>
    <row r="91" spans="1:22" ht="13.5" customHeight="1" thickBot="1" x14ac:dyDescent="0.25">
      <c r="A91" s="31"/>
      <c r="D91" s="1376"/>
      <c r="E91" s="1377"/>
      <c r="F91" s="1204" t="s">
        <v>541</v>
      </c>
      <c r="G91" s="1204"/>
      <c r="H91" s="1152">
        <v>1</v>
      </c>
      <c r="K91" s="78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77"/>
    </row>
    <row r="92" spans="1:22" ht="13.5" thickBot="1" x14ac:dyDescent="0.25">
      <c r="A92" s="26" t="s">
        <v>403</v>
      </c>
      <c r="D92" s="1376"/>
      <c r="E92" s="1377"/>
      <c r="F92" s="1204"/>
      <c r="G92" s="1204"/>
      <c r="H92" s="1153"/>
      <c r="K92" s="78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77"/>
    </row>
    <row r="93" spans="1:22" ht="13.5" thickBot="1" x14ac:dyDescent="0.25">
      <c r="A93" s="400" t="s">
        <v>402</v>
      </c>
      <c r="B93" s="322"/>
      <c r="C93" s="399">
        <f>'E-Inv AF y Am'!B7*C84*H84</f>
        <v>10080</v>
      </c>
      <c r="D93" s="1378"/>
      <c r="E93" s="1379"/>
      <c r="F93" s="1151"/>
      <c r="G93" s="1151"/>
      <c r="H93" s="1154"/>
      <c r="K93" s="78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77"/>
    </row>
    <row r="94" spans="1:22" x14ac:dyDescent="0.2">
      <c r="A94" s="1381" t="s">
        <v>401</v>
      </c>
      <c r="B94" s="1371"/>
      <c r="C94" s="37">
        <f>'E-Inv AF y Am'!B7*C86*H86</f>
        <v>12600</v>
      </c>
      <c r="K94" s="78"/>
      <c r="L94" s="1380" t="s">
        <v>568</v>
      </c>
      <c r="M94" s="1380"/>
      <c r="N94" s="1380"/>
      <c r="O94" s="1380"/>
      <c r="P94" s="13"/>
      <c r="Q94" s="13"/>
      <c r="R94" s="13"/>
      <c r="S94" s="13"/>
      <c r="T94" s="13"/>
      <c r="U94" s="13"/>
      <c r="V94" s="77"/>
    </row>
    <row r="95" spans="1:22" x14ac:dyDescent="0.2">
      <c r="A95" s="1382" t="s">
        <v>400</v>
      </c>
      <c r="B95" s="1383"/>
      <c r="C95" s="37">
        <f>G82*C88*H88</f>
        <v>3000</v>
      </c>
      <c r="K95" s="78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77"/>
    </row>
    <row r="96" spans="1:22" ht="12.75" customHeight="1" x14ac:dyDescent="0.2">
      <c r="A96" s="1381" t="s">
        <v>392</v>
      </c>
      <c r="B96" s="1371"/>
      <c r="C96" s="25">
        <f>SUM(C93:C95)</f>
        <v>25680</v>
      </c>
      <c r="F96" s="1390" t="s">
        <v>760</v>
      </c>
      <c r="G96" s="1390"/>
      <c r="H96" s="1390"/>
      <c r="K96" s="78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77"/>
    </row>
    <row r="97" spans="1:22" x14ac:dyDescent="0.2">
      <c r="A97" s="1381" t="s">
        <v>399</v>
      </c>
      <c r="B97" s="1371"/>
      <c r="C97" s="37">
        <f>C96/B22</f>
        <v>4.2799999999999998E-2</v>
      </c>
      <c r="F97" s="1390"/>
      <c r="G97" s="1390"/>
      <c r="H97" s="1390"/>
      <c r="K97" s="78"/>
      <c r="L97" s="344" t="s">
        <v>561</v>
      </c>
      <c r="M97" s="84">
        <v>10000</v>
      </c>
      <c r="N97" s="84" t="s">
        <v>562</v>
      </c>
      <c r="O97" s="84">
        <v>19</v>
      </c>
      <c r="P97" s="84" t="s">
        <v>564</v>
      </c>
      <c r="Q97" s="1172"/>
      <c r="R97" s="1174"/>
      <c r="S97" s="1173"/>
      <c r="T97" s="13"/>
      <c r="U97" s="13"/>
      <c r="V97" s="77"/>
    </row>
    <row r="98" spans="1:22" ht="13.5" thickBot="1" x14ac:dyDescent="0.25">
      <c r="A98" s="1386" t="s">
        <v>398</v>
      </c>
      <c r="B98" s="1387"/>
      <c r="C98" s="36">
        <f>(C97*F26)/2</f>
        <v>53.428761651131822</v>
      </c>
      <c r="F98" s="1390"/>
      <c r="G98" s="1390"/>
      <c r="H98" s="1390"/>
      <c r="K98" s="78"/>
      <c r="L98" s="344" t="s">
        <v>620</v>
      </c>
      <c r="M98" s="84">
        <v>5000</v>
      </c>
      <c r="N98" s="84" t="s">
        <v>563</v>
      </c>
      <c r="O98" s="84">
        <v>0.117768</v>
      </c>
      <c r="P98" s="84" t="s">
        <v>566</v>
      </c>
      <c r="Q98" s="1172" t="s">
        <v>567</v>
      </c>
      <c r="R98" s="1173"/>
      <c r="S98" s="85">
        <f>6732*12</f>
        <v>80784</v>
      </c>
      <c r="T98" s="13" t="s">
        <v>565</v>
      </c>
      <c r="U98" s="13" t="s">
        <v>523</v>
      </c>
      <c r="V98" s="77"/>
    </row>
    <row r="99" spans="1:22" ht="13.5" customHeight="1" thickBot="1" x14ac:dyDescent="0.25">
      <c r="A99" s="31"/>
      <c r="F99" s="1391" t="s">
        <v>543</v>
      </c>
      <c r="G99" s="1391"/>
      <c r="H99" s="1391"/>
      <c r="I99" s="1391"/>
      <c r="K99" s="78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77"/>
    </row>
    <row r="100" spans="1:22" ht="13.5" thickBot="1" x14ac:dyDescent="0.25">
      <c r="A100" s="26" t="s">
        <v>48</v>
      </c>
      <c r="F100" s="1391"/>
      <c r="G100" s="1391"/>
      <c r="H100" s="1391"/>
      <c r="I100" s="1391"/>
      <c r="K100" s="78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77"/>
    </row>
    <row r="101" spans="1:22" x14ac:dyDescent="0.2">
      <c r="A101" s="1384" t="s">
        <v>392</v>
      </c>
      <c r="B101" s="1385"/>
      <c r="C101" s="35">
        <f>C96</f>
        <v>25680</v>
      </c>
      <c r="F101" s="1391"/>
      <c r="G101" s="1391"/>
      <c r="H101" s="1391"/>
      <c r="I101" s="1391"/>
      <c r="K101" s="78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77"/>
    </row>
    <row r="102" spans="1:22" x14ac:dyDescent="0.2">
      <c r="A102" s="1381" t="s">
        <v>399</v>
      </c>
      <c r="B102" s="1371"/>
      <c r="C102" s="34">
        <f>C101/F22</f>
        <v>4.9503614457831323E-2</v>
      </c>
      <c r="F102" s="1391"/>
      <c r="G102" s="1391"/>
      <c r="H102" s="1391"/>
      <c r="I102" s="1391"/>
      <c r="K102" s="78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77"/>
    </row>
    <row r="103" spans="1:22" ht="13.5" thickBot="1" x14ac:dyDescent="0.25">
      <c r="A103" s="1386" t="s">
        <v>398</v>
      </c>
      <c r="B103" s="1387"/>
      <c r="C103" s="33">
        <f>(C102*F26)/2</f>
        <v>61.797121909742835</v>
      </c>
      <c r="F103" s="1391"/>
      <c r="G103" s="1391"/>
      <c r="H103" s="1391"/>
      <c r="I103" s="1391"/>
      <c r="K103" s="78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77"/>
    </row>
    <row r="104" spans="1:22" x14ac:dyDescent="0.2">
      <c r="A104" s="30"/>
      <c r="B104" s="29"/>
      <c r="C104" s="29"/>
      <c r="D104" s="29"/>
      <c r="E104" s="29"/>
      <c r="F104" s="1392"/>
      <c r="G104" s="1392"/>
      <c r="H104" s="1392"/>
      <c r="I104" s="1392"/>
      <c r="J104" s="29"/>
      <c r="K104" s="78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77"/>
    </row>
    <row r="105" spans="1:22" ht="13.5" thickBot="1" x14ac:dyDescent="0.25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57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77"/>
    </row>
    <row r="106" spans="1:22" ht="13.5" customHeight="1" thickBot="1" x14ac:dyDescent="0.25">
      <c r="A106" s="1396" t="s">
        <v>397</v>
      </c>
      <c r="B106" s="1397"/>
      <c r="C106" s="137"/>
      <c r="D106" s="137"/>
      <c r="E106" s="1404" t="s">
        <v>396</v>
      </c>
      <c r="F106" s="1404"/>
      <c r="G106" s="1404"/>
      <c r="H106" s="137"/>
      <c r="I106" s="137"/>
      <c r="J106" s="137"/>
      <c r="K106" s="158"/>
      <c r="L106" s="159"/>
      <c r="M106" s="13"/>
      <c r="N106" s="13"/>
      <c r="O106" s="13"/>
      <c r="P106" s="13"/>
      <c r="Q106" s="13"/>
      <c r="R106" s="13"/>
      <c r="S106" s="13"/>
      <c r="T106" s="13"/>
      <c r="U106" s="13"/>
      <c r="V106" s="77"/>
    </row>
    <row r="107" spans="1:22" x14ac:dyDescent="0.2">
      <c r="A107" s="1393" t="s">
        <v>395</v>
      </c>
      <c r="B107" s="1394"/>
      <c r="C107" s="1395"/>
      <c r="D107" s="137"/>
      <c r="E107" s="1404"/>
      <c r="F107" s="1404"/>
      <c r="G107" s="1404"/>
      <c r="H107" s="137"/>
      <c r="I107" s="137"/>
      <c r="J107" s="137"/>
      <c r="K107" s="160"/>
      <c r="L107" s="161"/>
      <c r="M107" s="73"/>
      <c r="N107" s="73"/>
      <c r="O107" s="73"/>
      <c r="P107" s="73"/>
      <c r="Q107" s="73"/>
      <c r="R107" s="73"/>
      <c r="S107" s="73"/>
      <c r="T107" s="73"/>
      <c r="U107" s="73"/>
      <c r="V107" s="80"/>
    </row>
    <row r="108" spans="1:22" ht="13.5" thickBot="1" x14ac:dyDescent="0.25">
      <c r="A108" s="137"/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62"/>
    </row>
    <row r="109" spans="1:22" x14ac:dyDescent="0.2">
      <c r="A109" s="163" t="s">
        <v>394</v>
      </c>
      <c r="B109" s="137"/>
      <c r="C109" s="137"/>
      <c r="D109" s="137"/>
      <c r="E109" s="163" t="s">
        <v>393</v>
      </c>
      <c r="F109" s="137"/>
      <c r="G109" s="137"/>
      <c r="H109" s="137"/>
      <c r="I109" s="163" t="s">
        <v>48</v>
      </c>
      <c r="J109" s="137"/>
      <c r="K109" s="137"/>
      <c r="L109" s="162"/>
    </row>
    <row r="110" spans="1:22" x14ac:dyDescent="0.2">
      <c r="A110" s="1402" t="s">
        <v>392</v>
      </c>
      <c r="B110" s="1402"/>
      <c r="C110" s="403">
        <f>SUM(D132:D135)</f>
        <v>289940.62935787498</v>
      </c>
      <c r="D110" s="137"/>
      <c r="E110" s="1402" t="s">
        <v>392</v>
      </c>
      <c r="F110" s="1402"/>
      <c r="G110" s="403">
        <f>SUM(C132:C135)</f>
        <v>289891.37301787501</v>
      </c>
      <c r="H110" s="137"/>
      <c r="I110" s="1402" t="s">
        <v>392</v>
      </c>
      <c r="J110" s="1402"/>
      <c r="K110" s="403">
        <f>SUM(B132:B135)</f>
        <v>260902.23571608751</v>
      </c>
      <c r="L110" s="162"/>
    </row>
    <row r="111" spans="1:22" x14ac:dyDescent="0.2">
      <c r="A111" s="1402" t="s">
        <v>391</v>
      </c>
      <c r="B111" s="1402"/>
      <c r="C111" s="403">
        <f>C112*F26/2</f>
        <v>603.23865961608487</v>
      </c>
      <c r="D111" s="137"/>
      <c r="E111" s="1403" t="s">
        <v>391</v>
      </c>
      <c r="F111" s="1403"/>
      <c r="G111" s="403">
        <f>G112*F26/2</f>
        <v>603.13617888206352</v>
      </c>
      <c r="H111" s="137"/>
      <c r="I111" s="1403" t="s">
        <v>391</v>
      </c>
      <c r="J111" s="1403"/>
      <c r="K111" s="403">
        <f>G112*F26/2</f>
        <v>603.13617888206352</v>
      </c>
      <c r="L111" s="162"/>
    </row>
    <row r="112" spans="1:22" ht="12.75" customHeight="1" x14ac:dyDescent="0.2">
      <c r="A112" s="1402" t="s">
        <v>422</v>
      </c>
      <c r="B112" s="1402"/>
      <c r="C112" s="402">
        <f>C110/B22</f>
        <v>0.48323438226312498</v>
      </c>
      <c r="D112" s="137"/>
      <c r="E112" s="1402" t="s">
        <v>422</v>
      </c>
      <c r="F112" s="1402"/>
      <c r="G112" s="405">
        <f>G110/B22</f>
        <v>0.48315228836312502</v>
      </c>
      <c r="H112" s="137"/>
      <c r="I112" s="1405" t="s">
        <v>390</v>
      </c>
      <c r="J112" s="1405"/>
      <c r="K112" s="1176">
        <f>G112*F22</f>
        <v>250635.24958837111</v>
      </c>
      <c r="L112" s="162"/>
    </row>
    <row r="113" spans="1:12" x14ac:dyDescent="0.2">
      <c r="A113" s="1398" t="s">
        <v>745</v>
      </c>
      <c r="B113" s="1399"/>
      <c r="C113" s="404">
        <f>6/12*C110</f>
        <v>144970.31467893749</v>
      </c>
      <c r="D113" s="137"/>
      <c r="E113" s="1398" t="s">
        <v>745</v>
      </c>
      <c r="F113" s="1399"/>
      <c r="G113" s="404">
        <f>6/12*G110</f>
        <v>144945.68650893751</v>
      </c>
      <c r="H113" s="137"/>
      <c r="I113" s="1405"/>
      <c r="J113" s="1405"/>
      <c r="K113" s="1176"/>
      <c r="L113" s="162"/>
    </row>
    <row r="114" spans="1:12" ht="12.75" customHeight="1" x14ac:dyDescent="0.2">
      <c r="A114" s="137"/>
      <c r="B114" s="137"/>
      <c r="C114" s="137"/>
      <c r="D114" s="137"/>
      <c r="E114" s="137"/>
      <c r="F114" s="137"/>
      <c r="G114" s="137"/>
      <c r="H114" s="137"/>
      <c r="I114" s="1405" t="s">
        <v>389</v>
      </c>
      <c r="J114" s="1405"/>
      <c r="K114" s="1176">
        <f>K110-K111-K112</f>
        <v>9663.8499488343368</v>
      </c>
      <c r="L114" s="162"/>
    </row>
    <row r="115" spans="1:12" x14ac:dyDescent="0.2">
      <c r="A115" s="137"/>
      <c r="B115" s="137"/>
      <c r="C115" s="137"/>
      <c r="D115" s="137"/>
      <c r="E115" s="137"/>
      <c r="F115" s="137"/>
      <c r="G115" s="137"/>
      <c r="H115" s="137"/>
      <c r="I115" s="1405"/>
      <c r="J115" s="1405"/>
      <c r="K115" s="1176"/>
      <c r="L115" s="162"/>
    </row>
    <row r="116" spans="1:12" x14ac:dyDescent="0.2">
      <c r="A116" s="137"/>
      <c r="B116" s="137"/>
      <c r="C116" s="137"/>
      <c r="D116" s="137"/>
      <c r="E116" s="137"/>
      <c r="F116" s="137"/>
      <c r="G116" s="137"/>
      <c r="H116" s="137"/>
      <c r="I116" s="1398" t="s">
        <v>745</v>
      </c>
      <c r="J116" s="1399"/>
      <c r="K116" s="404">
        <f>K110*6/12</f>
        <v>130451.11785804376</v>
      </c>
      <c r="L116" s="162"/>
    </row>
    <row r="117" spans="1:12" x14ac:dyDescent="0.2">
      <c r="A117" s="1401" t="s">
        <v>713</v>
      </c>
      <c r="B117" s="1401"/>
      <c r="C117" s="1401"/>
      <c r="D117" s="137"/>
      <c r="E117" s="137"/>
      <c r="F117" s="137"/>
      <c r="G117" s="137"/>
      <c r="H117" s="137"/>
      <c r="I117" s="137"/>
      <c r="J117" s="137"/>
      <c r="K117" s="137"/>
      <c r="L117" s="162"/>
    </row>
    <row r="118" spans="1:12" x14ac:dyDescent="0.2">
      <c r="A118" s="137"/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62"/>
    </row>
    <row r="119" spans="1:12" x14ac:dyDescent="0.2">
      <c r="A119" s="6" t="s">
        <v>443</v>
      </c>
      <c r="B119" s="407">
        <v>0.01</v>
      </c>
      <c r="C119" s="137" t="s">
        <v>714</v>
      </c>
      <c r="D119" s="137"/>
      <c r="E119" s="137"/>
      <c r="F119" s="137"/>
      <c r="G119" s="137"/>
      <c r="H119" s="137"/>
      <c r="I119" s="137"/>
      <c r="J119" s="137"/>
      <c r="K119" s="137"/>
      <c r="L119" s="162"/>
    </row>
    <row r="120" spans="1:12" x14ac:dyDescent="0.2">
      <c r="A120" s="137"/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62"/>
    </row>
    <row r="121" spans="1:12" x14ac:dyDescent="0.2">
      <c r="A121" s="6" t="s">
        <v>82</v>
      </c>
      <c r="B121" s="407">
        <v>1.6E-2</v>
      </c>
      <c r="C121" s="137" t="s">
        <v>715</v>
      </c>
      <c r="D121" s="137"/>
      <c r="E121" s="137"/>
      <c r="F121" s="137"/>
      <c r="G121" s="137"/>
      <c r="H121" s="137"/>
      <c r="I121" s="137"/>
      <c r="J121" s="137"/>
      <c r="K121" s="137"/>
      <c r="L121" s="162"/>
    </row>
    <row r="122" spans="1:12" x14ac:dyDescent="0.2">
      <c r="A122" s="137"/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62"/>
    </row>
    <row r="123" spans="1:12" x14ac:dyDescent="0.2">
      <c r="A123" s="6" t="s">
        <v>513</v>
      </c>
      <c r="B123" s="407">
        <v>1.4999999999999999E-2</v>
      </c>
      <c r="C123" s="137" t="s">
        <v>716</v>
      </c>
      <c r="D123" s="137"/>
      <c r="E123" s="137"/>
      <c r="F123" s="137"/>
      <c r="G123" s="137"/>
      <c r="H123" s="137"/>
      <c r="I123" s="137"/>
      <c r="J123" s="137"/>
      <c r="K123" s="137"/>
      <c r="L123" s="162"/>
    </row>
    <row r="124" spans="1:12" x14ac:dyDescent="0.2">
      <c r="A124" s="137"/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62"/>
    </row>
    <row r="125" spans="1:12" x14ac:dyDescent="0.2">
      <c r="A125" s="6" t="s">
        <v>120</v>
      </c>
      <c r="B125" s="407">
        <v>0.03</v>
      </c>
      <c r="C125" s="137" t="s">
        <v>717</v>
      </c>
      <c r="D125" s="137"/>
      <c r="E125" s="137"/>
      <c r="F125" s="137"/>
      <c r="G125" s="137"/>
      <c r="H125" s="137"/>
      <c r="I125" s="137"/>
      <c r="J125" s="137"/>
      <c r="K125" s="137"/>
      <c r="L125" s="162"/>
    </row>
    <row r="126" spans="1:12" x14ac:dyDescent="0.2">
      <c r="A126" s="137"/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62"/>
    </row>
    <row r="127" spans="1:12" x14ac:dyDescent="0.2">
      <c r="A127" s="1400" t="s">
        <v>718</v>
      </c>
      <c r="B127" s="1400"/>
      <c r="C127" s="1400"/>
      <c r="D127" s="408">
        <v>0.1</v>
      </c>
      <c r="E127" s="137" t="s">
        <v>719</v>
      </c>
      <c r="F127" s="137"/>
      <c r="G127" s="137"/>
      <c r="H127" s="137"/>
      <c r="I127" s="137"/>
      <c r="J127" s="137"/>
      <c r="K127" s="137"/>
      <c r="L127" s="162"/>
    </row>
    <row r="128" spans="1:12" x14ac:dyDescent="0.2">
      <c r="A128" s="137"/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62"/>
    </row>
    <row r="129" spans="1:12" x14ac:dyDescent="0.2">
      <c r="A129" s="5" t="s">
        <v>720</v>
      </c>
      <c r="B129" s="408">
        <v>0.9</v>
      </c>
      <c r="C129" s="137" t="s">
        <v>89</v>
      </c>
      <c r="D129" s="137"/>
      <c r="E129" s="137"/>
      <c r="F129" s="137"/>
      <c r="G129" s="137"/>
      <c r="H129" s="137"/>
      <c r="I129" s="137"/>
      <c r="J129" s="137"/>
      <c r="K129" s="137"/>
      <c r="L129" s="162"/>
    </row>
    <row r="130" spans="1:12" x14ac:dyDescent="0.2">
      <c r="A130" s="137"/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62"/>
    </row>
    <row r="131" spans="1:12" x14ac:dyDescent="0.2">
      <c r="A131" s="406"/>
      <c r="B131" s="406" t="s">
        <v>48</v>
      </c>
      <c r="C131" s="406" t="s">
        <v>393</v>
      </c>
      <c r="D131" s="406" t="s">
        <v>394</v>
      </c>
      <c r="E131" s="137"/>
      <c r="F131" s="137"/>
      <c r="G131" s="137"/>
      <c r="H131" s="137"/>
      <c r="I131" s="137"/>
      <c r="J131" s="137"/>
      <c r="K131" s="137"/>
      <c r="L131" s="162"/>
    </row>
    <row r="132" spans="1:12" x14ac:dyDescent="0.2">
      <c r="A132" s="406" t="s">
        <v>443</v>
      </c>
      <c r="B132" s="409">
        <f>C132*$B$129</f>
        <v>56362.376536087504</v>
      </c>
      <c r="C132" s="410">
        <f>('E-Inv AF y Am'!B20-'E-Inv AF y Am'!B11+'E-Inv AF y Am'!L12)*PRODUCCION!B129*PRODUCCION!B119</f>
        <v>62624.862817875</v>
      </c>
      <c r="D132" s="410">
        <f>('E-Inv AF y Am'!B20-'E-Inv AF y Am'!B11+'E-Inv AF y Am'!L12)*PRODUCCION!B129*PRODUCCION!B119</f>
        <v>62624.862817875</v>
      </c>
      <c r="E132" s="137"/>
      <c r="F132" s="137"/>
      <c r="G132" s="137"/>
      <c r="H132" s="137"/>
      <c r="I132" s="137"/>
      <c r="J132" s="137"/>
      <c r="K132" s="137"/>
      <c r="L132" s="162"/>
    </row>
    <row r="133" spans="1:12" x14ac:dyDescent="0.2">
      <c r="A133" s="406" t="s">
        <v>82</v>
      </c>
      <c r="B133" s="409">
        <f>C133*$B$129</f>
        <v>443.30706000000038</v>
      </c>
      <c r="C133" s="410">
        <f>(('E-Inv AF y Am'!B11-'E-Inv AF y Am'!L12)*PRODUCCION!B121)</f>
        <v>492.5634000000004</v>
      </c>
      <c r="D133" s="410">
        <f>(('E-Inv AF y Am'!B11-'E-Inv AF y Am'!L12)*PRODUCCION!B121)*(1+D127)</f>
        <v>541.81974000000048</v>
      </c>
      <c r="E133" s="137"/>
      <c r="F133" s="137"/>
      <c r="G133" s="137"/>
      <c r="H133" s="137"/>
      <c r="I133" s="137"/>
      <c r="J133" s="137"/>
      <c r="K133" s="137"/>
      <c r="L133" s="162"/>
    </row>
    <row r="134" spans="1:12" x14ac:dyDescent="0.2">
      <c r="A134" s="406" t="s">
        <v>513</v>
      </c>
      <c r="B134" s="409">
        <f>C134*$B$129</f>
        <v>96054.556320000003</v>
      </c>
      <c r="C134" s="410">
        <f>T61*B123</f>
        <v>106727.28479999999</v>
      </c>
      <c r="D134" s="410">
        <f>T61*B123</f>
        <v>106727.28479999999</v>
      </c>
      <c r="E134" s="137"/>
      <c r="F134" s="137"/>
      <c r="G134" s="137"/>
      <c r="H134" s="137"/>
      <c r="I134" s="137"/>
      <c r="J134" s="137"/>
      <c r="K134" s="137"/>
      <c r="L134" s="162"/>
    </row>
    <row r="135" spans="1:12" x14ac:dyDescent="0.2">
      <c r="A135" s="406" t="s">
        <v>120</v>
      </c>
      <c r="B135" s="409">
        <f>C135*$B$129</f>
        <v>108041.9958</v>
      </c>
      <c r="C135" s="410">
        <f>B125*(B21+C72)</f>
        <v>120046.662</v>
      </c>
      <c r="D135" s="410">
        <f>B125*(C72+B21)</f>
        <v>120046.662</v>
      </c>
      <c r="E135" s="137"/>
      <c r="F135" s="137"/>
      <c r="G135" s="137"/>
      <c r="H135" s="137"/>
      <c r="I135" s="137"/>
      <c r="J135" s="137"/>
      <c r="K135" s="137"/>
      <c r="L135" s="162"/>
    </row>
    <row r="136" spans="1:12" x14ac:dyDescent="0.2">
      <c r="A136" s="137"/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62"/>
    </row>
    <row r="137" spans="1:12" x14ac:dyDescent="0.2">
      <c r="A137" s="137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62"/>
    </row>
    <row r="138" spans="1:12" x14ac:dyDescent="0.2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62"/>
    </row>
    <row r="139" spans="1:12" x14ac:dyDescent="0.2">
      <c r="A139" s="137"/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62"/>
    </row>
    <row r="140" spans="1:12" x14ac:dyDescent="0.2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5"/>
    </row>
  </sheetData>
  <mergeCells count="268">
    <mergeCell ref="A107:C107"/>
    <mergeCell ref="A106:B106"/>
    <mergeCell ref="I116:J116"/>
    <mergeCell ref="E113:F113"/>
    <mergeCell ref="A113:B113"/>
    <mergeCell ref="A127:C127"/>
    <mergeCell ref="A117:C117"/>
    <mergeCell ref="A112:B112"/>
    <mergeCell ref="E112:F112"/>
    <mergeCell ref="E111:F111"/>
    <mergeCell ref="A110:B110"/>
    <mergeCell ref="A111:B111"/>
    <mergeCell ref="E110:F110"/>
    <mergeCell ref="I110:J110"/>
    <mergeCell ref="I111:J111"/>
    <mergeCell ref="E106:G107"/>
    <mergeCell ref="I114:J115"/>
    <mergeCell ref="I112:J113"/>
    <mergeCell ref="A72:B72"/>
    <mergeCell ref="A73:B73"/>
    <mergeCell ref="A74:B74"/>
    <mergeCell ref="D88:E93"/>
    <mergeCell ref="L94:O94"/>
    <mergeCell ref="A94:B94"/>
    <mergeCell ref="A95:B95"/>
    <mergeCell ref="A96:B96"/>
    <mergeCell ref="A101:B101"/>
    <mergeCell ref="A98:B98"/>
    <mergeCell ref="A97:B97"/>
    <mergeCell ref="C86:C87"/>
    <mergeCell ref="D86:E87"/>
    <mergeCell ref="H86:H87"/>
    <mergeCell ref="H84:H85"/>
    <mergeCell ref="F91:G93"/>
    <mergeCell ref="F96:H98"/>
    <mergeCell ref="F99:I104"/>
    <mergeCell ref="A102:B102"/>
    <mergeCell ref="A103:B103"/>
    <mergeCell ref="X67:X68"/>
    <mergeCell ref="K55:L56"/>
    <mergeCell ref="K65:L65"/>
    <mergeCell ref="K82:L82"/>
    <mergeCell ref="K83:M83"/>
    <mergeCell ref="K85:M85"/>
    <mergeCell ref="O85:Q85"/>
    <mergeCell ref="M55:M56"/>
    <mergeCell ref="N55:N56"/>
    <mergeCell ref="K78:L79"/>
    <mergeCell ref="M78:M79"/>
    <mergeCell ref="N78:N79"/>
    <mergeCell ref="O78:O79"/>
    <mergeCell ref="P78:P79"/>
    <mergeCell ref="Q67:Q68"/>
    <mergeCell ref="S67:S68"/>
    <mergeCell ref="S70:S71"/>
    <mergeCell ref="T55:T56"/>
    <mergeCell ref="Q55:Q56"/>
    <mergeCell ref="R55:R56"/>
    <mergeCell ref="S55:S56"/>
    <mergeCell ref="R67:R68"/>
    <mergeCell ref="K70:L71"/>
    <mergeCell ref="T78:T79"/>
    <mergeCell ref="P32:Q32"/>
    <mergeCell ref="A36:B36"/>
    <mergeCell ref="A37:C37"/>
    <mergeCell ref="K40:L40"/>
    <mergeCell ref="K46:L46"/>
    <mergeCell ref="K45:L45"/>
    <mergeCell ref="K44:L44"/>
    <mergeCell ref="K43:L43"/>
    <mergeCell ref="K37:L37"/>
    <mergeCell ref="K38:L38"/>
    <mergeCell ref="K39:L39"/>
    <mergeCell ref="O37:P37"/>
    <mergeCell ref="O38:P38"/>
    <mergeCell ref="O39:P39"/>
    <mergeCell ref="K41:L42"/>
    <mergeCell ref="M41:M42"/>
    <mergeCell ref="Q46:S47"/>
    <mergeCell ref="G39:G40"/>
    <mergeCell ref="K33:L33"/>
    <mergeCell ref="N35:N36"/>
    <mergeCell ref="N38:N39"/>
    <mergeCell ref="A38:B38"/>
    <mergeCell ref="A39:B40"/>
    <mergeCell ref="C39:C40"/>
    <mergeCell ref="Q1:R1"/>
    <mergeCell ref="K2:L2"/>
    <mergeCell ref="A6:B6"/>
    <mergeCell ref="K26:L26"/>
    <mergeCell ref="K27:M27"/>
    <mergeCell ref="K29:L29"/>
    <mergeCell ref="P28:Q28"/>
    <mergeCell ref="P29:Q29"/>
    <mergeCell ref="G5:H5"/>
    <mergeCell ref="G6:H6"/>
    <mergeCell ref="G7:H7"/>
    <mergeCell ref="G8:H8"/>
    <mergeCell ref="G12:H13"/>
    <mergeCell ref="G16:H17"/>
    <mergeCell ref="O15:P16"/>
    <mergeCell ref="R21:S21"/>
    <mergeCell ref="O6:O8"/>
    <mergeCell ref="P6:P8"/>
    <mergeCell ref="A9:C9"/>
    <mergeCell ref="A10:B10"/>
    <mergeCell ref="M21:N21"/>
    <mergeCell ref="I12:I13"/>
    <mergeCell ref="S10:T10"/>
    <mergeCell ref="S11:T11"/>
    <mergeCell ref="G37:H37"/>
    <mergeCell ref="A22:A23"/>
    <mergeCell ref="B22:B23"/>
    <mergeCell ref="A24:A25"/>
    <mergeCell ref="E31:E34"/>
    <mergeCell ref="L4:M4"/>
    <mergeCell ref="N6:N8"/>
    <mergeCell ref="L6:L8"/>
    <mergeCell ref="M6:M8"/>
    <mergeCell ref="M19:N19"/>
    <mergeCell ref="M20:N20"/>
    <mergeCell ref="M17:N17"/>
    <mergeCell ref="M18:N18"/>
    <mergeCell ref="M15:N16"/>
    <mergeCell ref="L15:L16"/>
    <mergeCell ref="F26:F28"/>
    <mergeCell ref="E29:E30"/>
    <mergeCell ref="F29:F30"/>
    <mergeCell ref="C24:C25"/>
    <mergeCell ref="E22:E24"/>
    <mergeCell ref="F22:F24"/>
    <mergeCell ref="B24:B25"/>
    <mergeCell ref="G4:I4"/>
    <mergeCell ref="A19:B19"/>
    <mergeCell ref="S6:T8"/>
    <mergeCell ref="T15:U16"/>
    <mergeCell ref="T17:U17"/>
    <mergeCell ref="T18:U18"/>
    <mergeCell ref="T19:U19"/>
    <mergeCell ref="T20:U20"/>
    <mergeCell ref="Q9:R9"/>
    <mergeCell ref="Q10:R10"/>
    <mergeCell ref="Q6:R8"/>
    <mergeCell ref="Q15:Q16"/>
    <mergeCell ref="S9:T9"/>
    <mergeCell ref="T21:U21"/>
    <mergeCell ref="R15:S16"/>
    <mergeCell ref="R17:S17"/>
    <mergeCell ref="A11:B11"/>
    <mergeCell ref="A12:B12"/>
    <mergeCell ref="A13:B14"/>
    <mergeCell ref="A15:B15"/>
    <mergeCell ref="A16:B16"/>
    <mergeCell ref="A17:B17"/>
    <mergeCell ref="Q11:R11"/>
    <mergeCell ref="O17:P17"/>
    <mergeCell ref="O18:P18"/>
    <mergeCell ref="O19:P19"/>
    <mergeCell ref="D17:E17"/>
    <mergeCell ref="O20:P20"/>
    <mergeCell ref="O21:P21"/>
    <mergeCell ref="C13:C14"/>
    <mergeCell ref="J12:J13"/>
    <mergeCell ref="I16:I17"/>
    <mergeCell ref="R18:S18"/>
    <mergeCell ref="R19:S19"/>
    <mergeCell ref="R20:S20"/>
    <mergeCell ref="E26:E28"/>
    <mergeCell ref="A28:B32"/>
    <mergeCell ref="K30:L30"/>
    <mergeCell ref="K31:L31"/>
    <mergeCell ref="K32:L32"/>
    <mergeCell ref="A48:B48"/>
    <mergeCell ref="A49:B49"/>
    <mergeCell ref="A50:B50"/>
    <mergeCell ref="A53:B53"/>
    <mergeCell ref="A41:B41"/>
    <mergeCell ref="A42:B42"/>
    <mergeCell ref="A43:B43"/>
    <mergeCell ref="A44:B44"/>
    <mergeCell ref="A45:B45"/>
    <mergeCell ref="A46:B46"/>
    <mergeCell ref="F31:F34"/>
    <mergeCell ref="D39:D40"/>
    <mergeCell ref="E39:E40"/>
    <mergeCell ref="F39:F40"/>
    <mergeCell ref="A47:B47"/>
    <mergeCell ref="K52:L52"/>
    <mergeCell ref="K53:L53"/>
    <mergeCell ref="A51:B51"/>
    <mergeCell ref="A52:B52"/>
    <mergeCell ref="A54:B54"/>
    <mergeCell ref="A55:B55"/>
    <mergeCell ref="K57:L57"/>
    <mergeCell ref="A65:B65"/>
    <mergeCell ref="A66:B66"/>
    <mergeCell ref="A67:B67"/>
    <mergeCell ref="A63:B63"/>
    <mergeCell ref="A64:B64"/>
    <mergeCell ref="K61:L61"/>
    <mergeCell ref="K66:L66"/>
    <mergeCell ref="K62:L62"/>
    <mergeCell ref="F67:I67"/>
    <mergeCell ref="K60:L60"/>
    <mergeCell ref="K58:L58"/>
    <mergeCell ref="K59:L59"/>
    <mergeCell ref="C54:I56"/>
    <mergeCell ref="K112:K113"/>
    <mergeCell ref="O43:P43"/>
    <mergeCell ref="O87:P87"/>
    <mergeCell ref="K87:L87"/>
    <mergeCell ref="K86:L86"/>
    <mergeCell ref="O86:P86"/>
    <mergeCell ref="H88:H90"/>
    <mergeCell ref="A88:B90"/>
    <mergeCell ref="C88:C90"/>
    <mergeCell ref="E82:F82"/>
    <mergeCell ref="A84:B85"/>
    <mergeCell ref="C84:C85"/>
    <mergeCell ref="D84:E85"/>
    <mergeCell ref="A86:B87"/>
    <mergeCell ref="F84:G85"/>
    <mergeCell ref="F86:G87"/>
    <mergeCell ref="M76:M77"/>
    <mergeCell ref="M67:M68"/>
    <mergeCell ref="N67:N68"/>
    <mergeCell ref="O67:O68"/>
    <mergeCell ref="P67:P68"/>
    <mergeCell ref="P55:P56"/>
    <mergeCell ref="F88:G90"/>
    <mergeCell ref="A69:C69"/>
    <mergeCell ref="Q98:R98"/>
    <mergeCell ref="Q97:S97"/>
    <mergeCell ref="K88:L88"/>
    <mergeCell ref="K114:K115"/>
    <mergeCell ref="R86:T86"/>
    <mergeCell ref="M70:M71"/>
    <mergeCell ref="N70:N71"/>
    <mergeCell ref="N74:N75"/>
    <mergeCell ref="O74:O75"/>
    <mergeCell ref="T76:T77"/>
    <mergeCell ref="K76:L77"/>
    <mergeCell ref="N76:N77"/>
    <mergeCell ref="O76:O77"/>
    <mergeCell ref="P76:P77"/>
    <mergeCell ref="M74:M75"/>
    <mergeCell ref="Q78:Q79"/>
    <mergeCell ref="R78:R79"/>
    <mergeCell ref="P74:P75"/>
    <mergeCell ref="Q74:Q75"/>
    <mergeCell ref="Q76:Q77"/>
    <mergeCell ref="R76:R77"/>
    <mergeCell ref="R74:R75"/>
    <mergeCell ref="T74:T75"/>
    <mergeCell ref="O70:O71"/>
    <mergeCell ref="R70:R71"/>
    <mergeCell ref="S74:S75"/>
    <mergeCell ref="S76:S77"/>
    <mergeCell ref="S78:S79"/>
    <mergeCell ref="O55:O56"/>
    <mergeCell ref="H91:H93"/>
    <mergeCell ref="M58:S58"/>
    <mergeCell ref="P70:P71"/>
    <mergeCell ref="Q70:Q71"/>
    <mergeCell ref="K69:L69"/>
    <mergeCell ref="K67:L68"/>
    <mergeCell ref="K74:L75"/>
    <mergeCell ref="K73:L7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59"/>
  <sheetViews>
    <sheetView topLeftCell="A10" zoomScale="85" zoomScaleNormal="85" workbookViewId="0">
      <selection activeCell="A38" sqref="A38:XFD38"/>
    </sheetView>
  </sheetViews>
  <sheetFormatPr baseColWidth="10" defaultColWidth="11.5703125" defaultRowHeight="12.75" x14ac:dyDescent="0.2"/>
  <cols>
    <col min="2" max="2" width="15.5703125" customWidth="1"/>
    <col min="3" max="3" width="14.5703125" customWidth="1"/>
    <col min="4" max="4" width="16.42578125" bestFit="1" customWidth="1"/>
    <col min="5" max="5" width="17.140625" bestFit="1" customWidth="1"/>
    <col min="6" max="6" width="16.28515625" bestFit="1" customWidth="1"/>
    <col min="7" max="7" width="15" bestFit="1" customWidth="1"/>
    <col min="11" max="11" width="12.5703125" bestFit="1" customWidth="1"/>
  </cols>
  <sheetData>
    <row r="1" spans="1:20" ht="13.5" thickBot="1" x14ac:dyDescent="0.25">
      <c r="A1" s="82" t="s">
        <v>644</v>
      </c>
      <c r="B1" s="39"/>
      <c r="C1" s="39"/>
      <c r="D1" s="39"/>
      <c r="E1" s="39"/>
      <c r="F1" s="39"/>
      <c r="G1" s="39"/>
      <c r="H1" s="39"/>
      <c r="I1" s="82" t="s">
        <v>645</v>
      </c>
      <c r="J1" s="39"/>
      <c r="K1" s="39"/>
      <c r="L1" s="39"/>
      <c r="M1" s="39"/>
      <c r="N1" s="39"/>
      <c r="O1" s="39"/>
      <c r="P1" s="39"/>
      <c r="Q1" s="39"/>
      <c r="R1" s="39"/>
      <c r="S1" s="39"/>
      <c r="T1" s="27"/>
    </row>
    <row r="2" spans="1:20" x14ac:dyDescent="0.2">
      <c r="A2" s="1417" t="s">
        <v>646</v>
      </c>
      <c r="B2" s="1418"/>
      <c r="C2" s="1418"/>
      <c r="D2" s="1418"/>
      <c r="H2" s="13"/>
      <c r="I2" s="1419" t="s">
        <v>733</v>
      </c>
      <c r="J2" s="1223"/>
      <c r="T2" s="24"/>
    </row>
    <row r="3" spans="1:20" ht="13.5" thickBot="1" x14ac:dyDescent="0.25">
      <c r="A3" s="1420" t="s">
        <v>580</v>
      </c>
      <c r="B3" s="1421"/>
      <c r="C3" s="413">
        <v>0.9</v>
      </c>
      <c r="D3" t="s">
        <v>478</v>
      </c>
      <c r="H3" s="24"/>
      <c r="I3" s="31"/>
      <c r="T3" s="24"/>
    </row>
    <row r="4" spans="1:20" x14ac:dyDescent="0.2">
      <c r="A4" s="1170" t="s">
        <v>647</v>
      </c>
      <c r="B4" s="1171"/>
      <c r="C4" s="418" t="s">
        <v>648</v>
      </c>
      <c r="D4" s="418" t="s">
        <v>649</v>
      </c>
      <c r="E4" s="418" t="s">
        <v>761</v>
      </c>
      <c r="F4" s="418" t="s">
        <v>650</v>
      </c>
      <c r="G4" s="419" t="s">
        <v>651</v>
      </c>
      <c r="H4" s="13"/>
      <c r="I4" s="1415" t="s">
        <v>107</v>
      </c>
      <c r="J4" s="1415"/>
      <c r="K4" s="192"/>
      <c r="L4" s="192"/>
      <c r="M4" s="192"/>
      <c r="N4" s="192"/>
      <c r="O4" s="192"/>
      <c r="P4" s="192"/>
      <c r="Q4" s="192"/>
      <c r="R4" s="192"/>
      <c r="S4" s="192"/>
      <c r="T4" s="24"/>
    </row>
    <row r="5" spans="1:20" x14ac:dyDescent="0.2">
      <c r="A5" s="1162" t="s">
        <v>456</v>
      </c>
      <c r="B5" s="1422"/>
      <c r="C5" s="125">
        <v>50000</v>
      </c>
      <c r="D5" s="50">
        <f>PRODUCCION!$C$38</f>
        <v>0.5</v>
      </c>
      <c r="E5" s="189">
        <v>1</v>
      </c>
      <c r="F5" s="189">
        <f>ADM!F7</f>
        <v>0.33</v>
      </c>
      <c r="G5" s="414">
        <f>(C5+C5*D5)*E5*F5*PRODUCCION!$I$37</f>
        <v>297000</v>
      </c>
      <c r="H5" s="13"/>
      <c r="I5" s="1415" t="s">
        <v>394</v>
      </c>
      <c r="J5" s="1415"/>
      <c r="K5" s="192"/>
      <c r="L5" s="192"/>
      <c r="M5" s="1415" t="s">
        <v>393</v>
      </c>
      <c r="N5" s="1415"/>
      <c r="O5" s="192"/>
      <c r="P5" s="192"/>
      <c r="Q5" s="1415" t="s">
        <v>48</v>
      </c>
      <c r="R5" s="1415"/>
      <c r="S5" s="192"/>
      <c r="T5" s="24"/>
    </row>
    <row r="6" spans="1:20" x14ac:dyDescent="0.2">
      <c r="A6" s="1162" t="s">
        <v>441</v>
      </c>
      <c r="B6" s="1422"/>
      <c r="C6" s="125">
        <v>12000</v>
      </c>
      <c r="D6" s="50">
        <f>PRODUCCION!$C$38</f>
        <v>0.5</v>
      </c>
      <c r="E6" s="189">
        <v>1</v>
      </c>
      <c r="F6" s="189">
        <v>0.33329999999999999</v>
      </c>
      <c r="G6" s="414">
        <f>(C6+C6*D6)*E6*F6*PRODUCCION!$I$37</f>
        <v>71992.799999999988</v>
      </c>
      <c r="H6" s="13"/>
      <c r="I6" s="1272" t="s">
        <v>652</v>
      </c>
      <c r="J6" s="1272"/>
      <c r="K6" s="422">
        <f>ADM!$M$8</f>
        <v>39895.419054583333</v>
      </c>
      <c r="L6" s="192"/>
      <c r="M6" s="1272" t="s">
        <v>652</v>
      </c>
      <c r="N6" s="1272"/>
      <c r="O6" s="422">
        <f>ADM!$M$9</f>
        <v>39895.419054583333</v>
      </c>
      <c r="P6" s="192"/>
      <c r="Q6" s="1426" t="s">
        <v>585</v>
      </c>
      <c r="R6" s="1427"/>
      <c r="S6" s="422">
        <f>ADM!M10</f>
        <v>39895.419054583333</v>
      </c>
      <c r="T6" s="24"/>
    </row>
    <row r="7" spans="1:20" x14ac:dyDescent="0.2">
      <c r="A7" s="1162" t="s">
        <v>452</v>
      </c>
      <c r="B7" s="1422"/>
      <c r="C7" s="125">
        <v>35000</v>
      </c>
      <c r="D7" s="50">
        <f>PRODUCCION!$C$38</f>
        <v>0.5</v>
      </c>
      <c r="E7" s="189">
        <v>1</v>
      </c>
      <c r="F7" s="189">
        <v>0.33329999999999999</v>
      </c>
      <c r="G7" s="414">
        <f>(C7+C7*D7)*E7*F7*PRODUCCION!$I$37</f>
        <v>209979</v>
      </c>
      <c r="H7" s="24"/>
      <c r="I7" s="193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24"/>
    </row>
    <row r="8" spans="1:20" x14ac:dyDescent="0.2">
      <c r="A8" s="1162" t="s">
        <v>448</v>
      </c>
      <c r="B8" s="1422"/>
      <c r="C8" s="125">
        <v>20000</v>
      </c>
      <c r="D8" s="50">
        <f>PRODUCCION!$C$38</f>
        <v>0.5</v>
      </c>
      <c r="E8" s="189">
        <v>1</v>
      </c>
      <c r="F8" s="189">
        <v>0.33329999999999999</v>
      </c>
      <c r="G8" s="414">
        <f>(C8+C8*D8)*E8*F8*PRODUCCION!$I$37</f>
        <v>119988</v>
      </c>
      <c r="H8" s="13"/>
      <c r="I8" s="1415" t="s">
        <v>653</v>
      </c>
      <c r="J8" s="1415"/>
      <c r="K8" s="192"/>
      <c r="L8" s="192"/>
      <c r="M8" s="192"/>
      <c r="N8" s="192"/>
      <c r="O8" s="192"/>
      <c r="P8" s="192"/>
      <c r="Q8" s="192"/>
      <c r="R8" s="192"/>
      <c r="S8" s="192"/>
      <c r="T8" s="24"/>
    </row>
    <row r="9" spans="1:20" x14ac:dyDescent="0.2">
      <c r="A9" s="1162" t="s">
        <v>654</v>
      </c>
      <c r="B9" s="1422"/>
      <c r="C9" s="127">
        <v>13000</v>
      </c>
      <c r="D9" s="128">
        <f>PRODUCCION!$C$38</f>
        <v>0.5</v>
      </c>
      <c r="E9" s="129">
        <v>1</v>
      </c>
      <c r="F9" s="129">
        <v>0.1</v>
      </c>
      <c r="G9" s="414">
        <f>(C9+C9*D9)*E9*F9*PRODUCCION!$I$37</f>
        <v>23400</v>
      </c>
      <c r="H9" s="13"/>
      <c r="I9" s="1415" t="s">
        <v>655</v>
      </c>
      <c r="J9" s="1415"/>
      <c r="K9" s="192"/>
      <c r="L9" s="192"/>
      <c r="M9" s="1415" t="s">
        <v>48</v>
      </c>
      <c r="N9" s="1415"/>
      <c r="O9" s="192"/>
      <c r="P9" s="192"/>
      <c r="Q9" s="192"/>
      <c r="R9" s="192"/>
      <c r="S9" s="192"/>
      <c r="T9" s="24"/>
    </row>
    <row r="10" spans="1:20" ht="13.5" thickBot="1" x14ac:dyDescent="0.25">
      <c r="A10" s="1423" t="s">
        <v>453</v>
      </c>
      <c r="B10" s="1424"/>
      <c r="C10" s="415">
        <v>35000</v>
      </c>
      <c r="D10" s="416">
        <f>PRODUCCION!$C$38</f>
        <v>0.5</v>
      </c>
      <c r="E10" s="191">
        <v>1</v>
      </c>
      <c r="F10" s="191">
        <v>0.6</v>
      </c>
      <c r="G10" s="417">
        <f>(C10+C10*D10)*E10*F10*PRODUCCION!$I$37</f>
        <v>378000</v>
      </c>
      <c r="H10" s="13"/>
      <c r="I10" s="1272" t="s">
        <v>652</v>
      </c>
      <c r="J10" s="1272"/>
      <c r="K10" s="422">
        <f>ADM!$C$28</f>
        <v>1117.7258841599999</v>
      </c>
      <c r="L10" s="192"/>
      <c r="M10" s="1272" t="s">
        <v>652</v>
      </c>
      <c r="N10" s="1272"/>
      <c r="O10" s="422">
        <f>ADM!C31</f>
        <v>1005.9532957439999</v>
      </c>
      <c r="P10" s="192"/>
      <c r="Q10" s="192"/>
      <c r="R10" s="192"/>
      <c r="S10" s="192"/>
      <c r="T10" s="24"/>
    </row>
    <row r="11" spans="1:20" ht="13.5" thickBot="1" x14ac:dyDescent="0.25">
      <c r="A11" s="31"/>
      <c r="H11" s="24"/>
      <c r="I11" s="193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24"/>
    </row>
    <row r="12" spans="1:20" ht="13.5" thickBot="1" x14ac:dyDescent="0.25">
      <c r="A12" s="82" t="s">
        <v>403</v>
      </c>
      <c r="E12" s="82" t="s">
        <v>48</v>
      </c>
      <c r="H12" s="13"/>
      <c r="I12" s="1415" t="s">
        <v>123</v>
      </c>
      <c r="J12" s="1415"/>
      <c r="K12" s="421"/>
      <c r="L12" s="421"/>
      <c r="M12" s="421"/>
      <c r="N12" s="192"/>
      <c r="O12" s="192"/>
      <c r="P12" s="192"/>
      <c r="Q12" s="192"/>
      <c r="R12" s="192"/>
      <c r="S12" s="192"/>
      <c r="T12" s="24"/>
    </row>
    <row r="13" spans="1:20" x14ac:dyDescent="0.2">
      <c r="A13" s="1413" t="s">
        <v>585</v>
      </c>
      <c r="B13" s="1184"/>
      <c r="C13" s="420">
        <f>SUM(G5:G10)</f>
        <v>1100359.8</v>
      </c>
      <c r="E13" s="1413" t="s">
        <v>585</v>
      </c>
      <c r="F13" s="1184"/>
      <c r="G13" s="420">
        <f>C13*C3</f>
        <v>990323.82000000007</v>
      </c>
      <c r="H13" s="13"/>
      <c r="I13" s="1415" t="s">
        <v>403</v>
      </c>
      <c r="J13" s="1415"/>
      <c r="K13" s="421"/>
      <c r="L13" s="421"/>
      <c r="M13" s="1425" t="s">
        <v>48</v>
      </c>
      <c r="N13" s="1425"/>
      <c r="O13" s="192"/>
      <c r="P13" s="192"/>
      <c r="Q13" s="192"/>
      <c r="R13" s="192"/>
      <c r="S13" s="192"/>
      <c r="T13" s="24"/>
    </row>
    <row r="14" spans="1:20" x14ac:dyDescent="0.2">
      <c r="A14" s="31"/>
      <c r="H14" s="13"/>
      <c r="I14" s="1272" t="s">
        <v>652</v>
      </c>
      <c r="J14" s="1272"/>
      <c r="K14" s="422">
        <f>ADM!C57</f>
        <v>100019.53599999999</v>
      </c>
      <c r="L14" s="192"/>
      <c r="M14" s="1272" t="s">
        <v>652</v>
      </c>
      <c r="N14" s="1272"/>
      <c r="O14" s="422">
        <f>ADM!B57</f>
        <v>95018.559199999989</v>
      </c>
      <c r="P14" s="192"/>
      <c r="Q14" s="192"/>
      <c r="R14" s="192"/>
      <c r="S14" s="192"/>
      <c r="T14" s="24"/>
    </row>
    <row r="15" spans="1:20" x14ac:dyDescent="0.2">
      <c r="A15" s="31"/>
      <c r="B15" s="1414" t="s">
        <v>656</v>
      </c>
      <c r="C15" s="1414"/>
      <c r="H15" s="24"/>
      <c r="I15" s="31"/>
      <c r="T15" s="24"/>
    </row>
    <row r="16" spans="1:20" x14ac:dyDescent="0.2">
      <c r="A16" s="31"/>
      <c r="B16" s="1414"/>
      <c r="C16" s="1414"/>
      <c r="H16" s="24"/>
      <c r="I16" s="31"/>
      <c r="T16" s="24"/>
    </row>
    <row r="17" spans="1:21" x14ac:dyDescent="0.2">
      <c r="A17" s="30"/>
      <c r="B17" s="29"/>
      <c r="C17" s="29"/>
      <c r="D17" s="29"/>
      <c r="E17" s="29"/>
      <c r="F17" s="29"/>
      <c r="G17" s="29"/>
      <c r="H17" s="28"/>
      <c r="I17" s="31"/>
      <c r="T17" s="24"/>
    </row>
    <row r="18" spans="1:21" ht="13.5" thickBot="1" x14ac:dyDescent="0.25">
      <c r="A18" s="40"/>
      <c r="B18" s="39"/>
      <c r="C18" s="39"/>
      <c r="D18" s="39"/>
      <c r="E18" s="39"/>
      <c r="F18" s="39"/>
      <c r="G18" s="39"/>
      <c r="H18" s="27"/>
      <c r="I18" s="40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27"/>
    </row>
    <row r="19" spans="1:21" ht="13.5" thickBot="1" x14ac:dyDescent="0.25">
      <c r="A19" s="82" t="s">
        <v>657</v>
      </c>
      <c r="H19" s="13"/>
      <c r="I19" s="82" t="s">
        <v>658</v>
      </c>
      <c r="U19" s="24"/>
    </row>
    <row r="20" spans="1:21" x14ac:dyDescent="0.2">
      <c r="A20" s="1419" t="s">
        <v>659</v>
      </c>
      <c r="B20" s="1223"/>
      <c r="C20" s="1223"/>
      <c r="D20" s="1223"/>
      <c r="H20" s="13"/>
      <c r="I20" s="1419" t="s">
        <v>660</v>
      </c>
      <c r="J20" s="1223"/>
      <c r="K20" s="1223"/>
      <c r="M20" s="121"/>
      <c r="N20" s="121"/>
      <c r="U20" s="24"/>
    </row>
    <row r="21" spans="1:21" ht="13.5" thickBot="1" x14ac:dyDescent="0.25">
      <c r="A21" s="31"/>
      <c r="H21" s="24"/>
      <c r="I21" s="31"/>
      <c r="M21" s="1187" t="s">
        <v>661</v>
      </c>
      <c r="N21" s="1187"/>
      <c r="O21" s="23">
        <v>2000</v>
      </c>
      <c r="U21" s="24"/>
    </row>
    <row r="22" spans="1:21" ht="13.5" thickBot="1" x14ac:dyDescent="0.25">
      <c r="A22" s="1416" t="s">
        <v>403</v>
      </c>
      <c r="B22" s="1416"/>
      <c r="E22" s="1223" t="s">
        <v>48</v>
      </c>
      <c r="F22" s="1223"/>
      <c r="H22" s="13"/>
      <c r="I22" s="82" t="s">
        <v>403</v>
      </c>
      <c r="U22" s="24"/>
    </row>
    <row r="23" spans="1:21" x14ac:dyDescent="0.2">
      <c r="A23" s="1272" t="s">
        <v>662</v>
      </c>
      <c r="B23" s="1272"/>
      <c r="C23" s="423">
        <f>SUM(C38:C41)</f>
        <v>33154.561517531249</v>
      </c>
      <c r="E23" s="1272" t="s">
        <v>663</v>
      </c>
      <c r="F23" s="1272"/>
      <c r="G23" s="424">
        <f>SUM(D38:D41)</f>
        <v>36416.553077531251</v>
      </c>
      <c r="H23" s="13"/>
      <c r="I23" s="1413" t="s">
        <v>664</v>
      </c>
      <c r="J23" s="1184"/>
      <c r="K23" s="372">
        <v>20000</v>
      </c>
      <c r="L23" t="s">
        <v>665</v>
      </c>
      <c r="U23" s="24"/>
    </row>
    <row r="24" spans="1:21" x14ac:dyDescent="0.2">
      <c r="A24" s="31"/>
      <c r="H24" s="13"/>
      <c r="I24" s="1184" t="s">
        <v>666</v>
      </c>
      <c r="J24" s="1184"/>
      <c r="K24" s="372">
        <v>15000</v>
      </c>
      <c r="U24" s="24"/>
    </row>
    <row r="25" spans="1:21" ht="13.5" customHeight="1" x14ac:dyDescent="0.2">
      <c r="A25" s="31"/>
      <c r="H25" s="13"/>
      <c r="I25" s="1184" t="s">
        <v>667</v>
      </c>
      <c r="J25" s="1184"/>
      <c r="K25" s="372">
        <v>25000</v>
      </c>
      <c r="L25" t="s">
        <v>668</v>
      </c>
      <c r="N25" s="130" t="s">
        <v>669</v>
      </c>
      <c r="O25" s="130"/>
      <c r="P25" s="130"/>
      <c r="Q25" s="130"/>
      <c r="R25" s="130"/>
      <c r="S25" s="130"/>
      <c r="T25" s="130"/>
      <c r="U25" s="24"/>
    </row>
    <row r="26" spans="1:21" x14ac:dyDescent="0.2">
      <c r="A26" s="31" t="s">
        <v>670</v>
      </c>
      <c r="D26" s="425">
        <v>1.4999999999999999E-2</v>
      </c>
      <c r="E26" t="s">
        <v>671</v>
      </c>
      <c r="I26" s="1184" t="s">
        <v>672</v>
      </c>
      <c r="J26" s="1184"/>
      <c r="K26" s="372">
        <v>12000</v>
      </c>
      <c r="N26" s="130"/>
      <c r="O26" s="130"/>
      <c r="P26" s="130"/>
      <c r="Q26" s="130"/>
      <c r="R26" s="130"/>
      <c r="S26" s="130"/>
      <c r="T26" s="130"/>
      <c r="U26" s="24"/>
    </row>
    <row r="27" spans="1:21" x14ac:dyDescent="0.2">
      <c r="D27" s="426">
        <v>0.05</v>
      </c>
      <c r="E27" s="13" t="s">
        <v>673</v>
      </c>
      <c r="F27" s="13"/>
      <c r="H27" s="13"/>
      <c r="I27" s="1184" t="s">
        <v>674</v>
      </c>
      <c r="J27" s="1184"/>
      <c r="K27" s="372">
        <v>0</v>
      </c>
      <c r="L27" s="1412" t="s">
        <v>675</v>
      </c>
      <c r="M27" s="1412"/>
      <c r="N27" s="1412"/>
      <c r="O27" s="1412"/>
      <c r="P27" s="1412"/>
      <c r="Q27" s="130"/>
      <c r="R27" s="130"/>
      <c r="S27" s="130"/>
      <c r="T27" s="130"/>
      <c r="U27" s="24"/>
    </row>
    <row r="28" spans="1:21" x14ac:dyDescent="0.2">
      <c r="H28" s="13"/>
      <c r="I28" s="1321" t="s">
        <v>676</v>
      </c>
      <c r="J28" s="1322"/>
      <c r="K28" s="431">
        <f>SUM(K23:K27)</f>
        <v>72000</v>
      </c>
      <c r="L28" s="1412" t="s">
        <v>677</v>
      </c>
      <c r="M28" s="1412"/>
      <c r="N28" s="1412"/>
      <c r="O28" s="1412"/>
      <c r="P28" s="1412"/>
      <c r="U28" s="24"/>
    </row>
    <row r="29" spans="1:21" ht="13.5" thickBot="1" x14ac:dyDescent="0.25">
      <c r="A29" s="31" t="s">
        <v>678</v>
      </c>
      <c r="E29" s="131">
        <v>15</v>
      </c>
      <c r="H29" s="24"/>
      <c r="I29" s="31"/>
      <c r="K29" s="184"/>
      <c r="U29" s="24"/>
    </row>
    <row r="30" spans="1:21" ht="13.5" thickBot="1" x14ac:dyDescent="0.25">
      <c r="A30" t="s">
        <v>679</v>
      </c>
      <c r="B30" s="117">
        <v>2000</v>
      </c>
      <c r="C30" t="s">
        <v>680</v>
      </c>
      <c r="H30" s="13"/>
      <c r="I30" s="82" t="s">
        <v>48</v>
      </c>
      <c r="K30" s="184"/>
      <c r="U30" s="24"/>
    </row>
    <row r="31" spans="1:21" x14ac:dyDescent="0.2">
      <c r="H31" s="13"/>
      <c r="I31" s="1407" t="s">
        <v>676</v>
      </c>
      <c r="J31" s="1408"/>
      <c r="K31" s="431">
        <f>K28-K27</f>
        <v>72000</v>
      </c>
      <c r="U31" s="24"/>
    </row>
    <row r="32" spans="1:21" x14ac:dyDescent="0.2">
      <c r="A32" s="31" t="s">
        <v>681</v>
      </c>
      <c r="E32" s="132">
        <v>3.0000000000000001E-3</v>
      </c>
      <c r="F32" t="s">
        <v>682</v>
      </c>
      <c r="H32" s="24"/>
      <c r="I32" s="31"/>
      <c r="U32" s="24"/>
    </row>
    <row r="33" spans="1:21" x14ac:dyDescent="0.2">
      <c r="H33" s="24"/>
      <c r="I33" s="31"/>
      <c r="U33" s="24"/>
    </row>
    <row r="34" spans="1:21" x14ac:dyDescent="0.2">
      <c r="A34" s="31" t="s">
        <v>683</v>
      </c>
      <c r="E34" s="131">
        <v>30</v>
      </c>
      <c r="H34" s="24"/>
      <c r="I34" s="31"/>
      <c r="U34" s="24"/>
    </row>
    <row r="35" spans="1:21" x14ac:dyDescent="0.2">
      <c r="A35" s="55" t="s">
        <v>684</v>
      </c>
      <c r="B35" s="117">
        <v>2000</v>
      </c>
      <c r="C35" t="s">
        <v>680</v>
      </c>
      <c r="H35" s="24"/>
      <c r="I35" s="31"/>
      <c r="U35" s="24"/>
    </row>
    <row r="36" spans="1:21" x14ac:dyDescent="0.2">
      <c r="H36" s="24"/>
      <c r="I36" s="31"/>
      <c r="U36" s="24"/>
    </row>
    <row r="37" spans="1:21" x14ac:dyDescent="0.2">
      <c r="A37" s="13"/>
      <c r="B37" s="13"/>
      <c r="C37" s="427" t="s">
        <v>48</v>
      </c>
      <c r="D37" s="427" t="s">
        <v>403</v>
      </c>
      <c r="G37" s="343" t="s">
        <v>745</v>
      </c>
      <c r="H37" s="24"/>
      <c r="I37" s="31"/>
      <c r="U37" s="24"/>
    </row>
    <row r="38" spans="1:21" x14ac:dyDescent="0.2">
      <c r="A38" s="429" t="s">
        <v>685</v>
      </c>
      <c r="B38" s="428"/>
      <c r="C38" s="422">
        <f>D26*D27*'E-Inv AF y Am'!B20</f>
        <v>5241.8274775312502</v>
      </c>
      <c r="D38" s="422">
        <f>D26*D27*'E-Inv AF y Am'!B20</f>
        <v>5241.8274775312502</v>
      </c>
      <c r="F38" s="343" t="s">
        <v>48</v>
      </c>
      <c r="G38" s="370">
        <f>1/12*G23</f>
        <v>3034.7127564609373</v>
      </c>
      <c r="H38" s="24"/>
      <c r="I38" s="31"/>
      <c r="U38" s="24"/>
    </row>
    <row r="39" spans="1:21" x14ac:dyDescent="0.2">
      <c r="A39" s="429" t="s">
        <v>686</v>
      </c>
      <c r="B39" s="428"/>
      <c r="C39" s="430">
        <f>E29*PRODUCCION!F22/COMER!B30</f>
        <v>3890.625</v>
      </c>
      <c r="D39" s="404">
        <f>E29*PRODUCCION!B22/COMER!B30</f>
        <v>4500</v>
      </c>
      <c r="F39" s="343" t="s">
        <v>403</v>
      </c>
      <c r="G39" s="370">
        <f>1/12*C23</f>
        <v>2762.8801264609374</v>
      </c>
      <c r="H39" s="24"/>
      <c r="I39" s="30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8"/>
    </row>
    <row r="40" spans="1:21" x14ac:dyDescent="0.2">
      <c r="A40" s="1184" t="s">
        <v>687</v>
      </c>
      <c r="B40" s="1321"/>
      <c r="C40" s="403">
        <f>E32*(PRODUCCION!C77+PRODUCCION!F21+ADM!G15+G13)</f>
        <v>16240.859039999999</v>
      </c>
      <c r="D40" s="403">
        <f>E32*(PRODUCCION!B21+PRODUCCION!C72+ADM!C15+C13)</f>
        <v>17674.725600000002</v>
      </c>
      <c r="H40" s="24"/>
    </row>
    <row r="41" spans="1:21" x14ac:dyDescent="0.2">
      <c r="A41" s="1184" t="s">
        <v>688</v>
      </c>
      <c r="B41" s="1321"/>
      <c r="C41" s="404">
        <f>E34*PRODUCCION!F22/COMER!B35</f>
        <v>7781.25</v>
      </c>
      <c r="D41" s="404">
        <f>E34*PRODUCCION!B22/COMER!B35</f>
        <v>9000</v>
      </c>
      <c r="H41" s="24"/>
    </row>
    <row r="42" spans="1:21" x14ac:dyDescent="0.2">
      <c r="H42" s="24"/>
    </row>
    <row r="43" spans="1:21" x14ac:dyDescent="0.2">
      <c r="H43" s="24"/>
    </row>
    <row r="44" spans="1:21" x14ac:dyDescent="0.2">
      <c r="A44" s="30"/>
      <c r="B44" s="29"/>
      <c r="C44" s="29"/>
      <c r="D44" s="29"/>
      <c r="E44" s="29"/>
      <c r="F44" s="29"/>
      <c r="G44" s="29"/>
      <c r="H44" s="28"/>
    </row>
    <row r="45" spans="1:21" ht="13.5" thickBot="1" x14ac:dyDescent="0.25">
      <c r="A45" s="40"/>
      <c r="B45" s="39"/>
      <c r="C45" s="39"/>
      <c r="D45" s="39"/>
      <c r="E45" s="39"/>
      <c r="F45" s="39"/>
      <c r="G45" s="39"/>
      <c r="H45" s="27"/>
    </row>
    <row r="46" spans="1:21" x14ac:dyDescent="0.2">
      <c r="A46" s="432" t="s">
        <v>689</v>
      </c>
      <c r="H46" s="24"/>
    </row>
    <row r="47" spans="1:21" x14ac:dyDescent="0.2">
      <c r="A47" s="1223" t="s">
        <v>690</v>
      </c>
      <c r="B47" s="1223"/>
      <c r="C47" s="1223"/>
      <c r="D47" s="1223"/>
      <c r="H47" s="24"/>
    </row>
    <row r="48" spans="1:21" x14ac:dyDescent="0.2">
      <c r="A48" s="31"/>
      <c r="H48" s="24"/>
    </row>
    <row r="49" spans="1:8" x14ac:dyDescent="0.2">
      <c r="A49" s="1409" t="s">
        <v>691</v>
      </c>
      <c r="B49" s="1410"/>
      <c r="C49" s="1411"/>
      <c r="D49" s="433">
        <v>2.75E-2</v>
      </c>
      <c r="H49" s="24"/>
    </row>
    <row r="50" spans="1:8" x14ac:dyDescent="0.2">
      <c r="A50" s="31"/>
      <c r="H50" s="24"/>
    </row>
    <row r="51" spans="1:8" x14ac:dyDescent="0.2">
      <c r="A51" s="23" t="s">
        <v>403</v>
      </c>
      <c r="E51" s="23" t="s">
        <v>48</v>
      </c>
      <c r="H51" s="24"/>
    </row>
    <row r="52" spans="1:8" x14ac:dyDescent="0.2">
      <c r="A52" s="1184" t="s">
        <v>692</v>
      </c>
      <c r="B52" s="1184"/>
      <c r="C52" s="474">
        <f>ADM!$M$57</f>
        <v>373194</v>
      </c>
      <c r="D52" s="137"/>
      <c r="E52" s="1406" t="s">
        <v>692</v>
      </c>
      <c r="F52" s="1406"/>
      <c r="G52" s="474">
        <f>ADM!$M$57</f>
        <v>373194</v>
      </c>
      <c r="H52" s="24"/>
    </row>
    <row r="53" spans="1:8" x14ac:dyDescent="0.2">
      <c r="A53" s="1184" t="s">
        <v>693</v>
      </c>
      <c r="B53" s="1184"/>
      <c r="C53" s="371">
        <f>COMER!D49*InfoInicial!B45</f>
        <v>825000</v>
      </c>
      <c r="E53" s="1184" t="s">
        <v>693</v>
      </c>
      <c r="F53" s="1184"/>
      <c r="G53" s="372">
        <f>InfoInicial!B46*D49</f>
        <v>713281.25</v>
      </c>
      <c r="H53" s="24"/>
    </row>
    <row r="54" spans="1:8" x14ac:dyDescent="0.2">
      <c r="A54" s="1184" t="s">
        <v>152</v>
      </c>
      <c r="B54" s="1184"/>
      <c r="C54" s="431">
        <f>SUM(C52:C53)</f>
        <v>1198194</v>
      </c>
      <c r="E54" s="1184" t="s">
        <v>152</v>
      </c>
      <c r="F54" s="1184"/>
      <c r="G54" s="431">
        <f>SUM(G52:G53)</f>
        <v>1086475.25</v>
      </c>
      <c r="H54" s="24"/>
    </row>
    <row r="55" spans="1:8" x14ac:dyDescent="0.2">
      <c r="A55" s="31"/>
      <c r="H55" s="24"/>
    </row>
    <row r="56" spans="1:8" x14ac:dyDescent="0.2">
      <c r="A56" s="31"/>
      <c r="H56" s="24"/>
    </row>
    <row r="57" spans="1:8" x14ac:dyDescent="0.2">
      <c r="A57" s="31"/>
      <c r="B57" s="133"/>
      <c r="C57" s="133"/>
      <c r="D57" s="133"/>
      <c r="H57" s="24"/>
    </row>
    <row r="58" spans="1:8" x14ac:dyDescent="0.2">
      <c r="A58" s="31"/>
      <c r="B58" s="133"/>
      <c r="C58" s="133"/>
      <c r="D58" s="133"/>
      <c r="H58" s="24"/>
    </row>
    <row r="59" spans="1:8" x14ac:dyDescent="0.2">
      <c r="A59" s="30"/>
      <c r="B59" s="29"/>
      <c r="C59" s="29"/>
      <c r="D59" s="29"/>
      <c r="E59" s="29"/>
      <c r="F59" s="29"/>
      <c r="G59" s="29"/>
      <c r="H59" s="28"/>
    </row>
  </sheetData>
  <mergeCells count="56">
    <mergeCell ref="Q5:R5"/>
    <mergeCell ref="M13:N13"/>
    <mergeCell ref="Q6:R6"/>
    <mergeCell ref="I20:K20"/>
    <mergeCell ref="A20:D20"/>
    <mergeCell ref="M10:N10"/>
    <mergeCell ref="M6:N6"/>
    <mergeCell ref="I10:J10"/>
    <mergeCell ref="M5:N5"/>
    <mergeCell ref="M9:N9"/>
    <mergeCell ref="A2:D2"/>
    <mergeCell ref="I2:J2"/>
    <mergeCell ref="I4:J4"/>
    <mergeCell ref="I8:J8"/>
    <mergeCell ref="I12:J12"/>
    <mergeCell ref="I5:J5"/>
    <mergeCell ref="I9:J9"/>
    <mergeCell ref="A3:B3"/>
    <mergeCell ref="A4:B4"/>
    <mergeCell ref="A5:B5"/>
    <mergeCell ref="A6:B6"/>
    <mergeCell ref="I6:J6"/>
    <mergeCell ref="A7:B7"/>
    <mergeCell ref="A8:B8"/>
    <mergeCell ref="A9:B9"/>
    <mergeCell ref="A10:B10"/>
    <mergeCell ref="L27:P27"/>
    <mergeCell ref="L28:P28"/>
    <mergeCell ref="A13:B13"/>
    <mergeCell ref="E13:F13"/>
    <mergeCell ref="B15:C16"/>
    <mergeCell ref="M21:N21"/>
    <mergeCell ref="A23:B23"/>
    <mergeCell ref="E23:F23"/>
    <mergeCell ref="I23:J23"/>
    <mergeCell ref="I14:J14"/>
    <mergeCell ref="M14:N14"/>
    <mergeCell ref="I13:J13"/>
    <mergeCell ref="A22:B22"/>
    <mergeCell ref="E22:F22"/>
    <mergeCell ref="I28:J28"/>
    <mergeCell ref="A54:B54"/>
    <mergeCell ref="E54:F54"/>
    <mergeCell ref="I24:J24"/>
    <mergeCell ref="I25:J25"/>
    <mergeCell ref="I26:J26"/>
    <mergeCell ref="I27:J27"/>
    <mergeCell ref="A40:B40"/>
    <mergeCell ref="A41:B41"/>
    <mergeCell ref="A52:B52"/>
    <mergeCell ref="E52:F52"/>
    <mergeCell ref="E53:F53"/>
    <mergeCell ref="I31:J31"/>
    <mergeCell ref="A47:D47"/>
    <mergeCell ref="A49:C49"/>
    <mergeCell ref="A53:B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61"/>
  <sheetViews>
    <sheetView zoomScale="70" zoomScaleNormal="70" workbookViewId="0">
      <selection activeCell="A30" sqref="A30:XFD30"/>
    </sheetView>
  </sheetViews>
  <sheetFormatPr baseColWidth="10" defaultColWidth="11.5703125" defaultRowHeight="12.75" x14ac:dyDescent="0.2"/>
  <cols>
    <col min="1" max="1" width="16.28515625" customWidth="1"/>
    <col min="2" max="2" width="16.140625" customWidth="1"/>
    <col min="3" max="3" width="23.28515625" customWidth="1"/>
    <col min="5" max="5" width="11.42578125" customWidth="1"/>
    <col min="7" max="7" width="21.42578125" customWidth="1"/>
    <col min="8" max="8" width="13.85546875" customWidth="1"/>
    <col min="10" max="10" width="16" customWidth="1"/>
    <col min="12" max="12" width="14.28515625" customWidth="1"/>
    <col min="13" max="13" width="17.140625" customWidth="1"/>
    <col min="17" max="17" width="15.7109375" customWidth="1"/>
  </cols>
  <sheetData>
    <row r="1" spans="1:21" x14ac:dyDescent="0.2">
      <c r="A1" s="40"/>
      <c r="B1" s="39"/>
      <c r="C1" s="39"/>
      <c r="D1" s="39"/>
      <c r="E1" s="39"/>
      <c r="F1" s="39"/>
      <c r="G1" s="39"/>
      <c r="H1" s="39"/>
      <c r="I1" s="27"/>
      <c r="J1" s="40"/>
      <c r="K1" s="39"/>
      <c r="L1" s="39"/>
      <c r="M1" s="39"/>
      <c r="N1" s="39"/>
      <c r="O1" s="39"/>
      <c r="P1" s="39"/>
      <c r="Q1" s="39"/>
      <c r="R1" s="39"/>
      <c r="S1" s="27"/>
    </row>
    <row r="2" spans="1:21" x14ac:dyDescent="0.2">
      <c r="A2" s="23" t="s">
        <v>575</v>
      </c>
      <c r="I2" s="13"/>
      <c r="J2" s="23" t="s">
        <v>576</v>
      </c>
      <c r="S2" s="24"/>
    </row>
    <row r="3" spans="1:21" x14ac:dyDescent="0.2">
      <c r="A3" s="23" t="s">
        <v>577</v>
      </c>
      <c r="B3" s="23"/>
      <c r="C3" s="23"/>
      <c r="I3" s="13"/>
      <c r="J3" s="23" t="s">
        <v>578</v>
      </c>
      <c r="K3" s="23"/>
      <c r="L3" s="23"/>
      <c r="M3" s="23"/>
      <c r="N3" s="23"/>
      <c r="P3" s="1187" t="s">
        <v>579</v>
      </c>
      <c r="Q3" s="1187"/>
      <c r="R3" s="59">
        <v>0.05</v>
      </c>
      <c r="S3" s="24"/>
    </row>
    <row r="4" spans="1:21" x14ac:dyDescent="0.2">
      <c r="A4" s="1428" t="s">
        <v>580</v>
      </c>
      <c r="B4" s="1429"/>
      <c r="C4" s="413">
        <v>0.9</v>
      </c>
      <c r="D4" t="s">
        <v>478</v>
      </c>
      <c r="I4" s="24"/>
      <c r="J4" s="31"/>
      <c r="S4" s="24"/>
    </row>
    <row r="5" spans="1:21" x14ac:dyDescent="0.2">
      <c r="A5" s="1204" t="s">
        <v>464</v>
      </c>
      <c r="B5" s="1204"/>
      <c r="C5" s="1186" t="s">
        <v>463</v>
      </c>
      <c r="D5" s="1186" t="s">
        <v>462</v>
      </c>
      <c r="E5" s="1186" t="s">
        <v>461</v>
      </c>
      <c r="F5" s="1186" t="s">
        <v>581</v>
      </c>
      <c r="G5" s="1186"/>
      <c r="H5" s="1204" t="s">
        <v>392</v>
      </c>
      <c r="I5" s="24"/>
      <c r="J5" s="31"/>
      <c r="K5" s="1272" t="s">
        <v>230</v>
      </c>
      <c r="L5" s="1186" t="s">
        <v>512</v>
      </c>
      <c r="M5" s="1204" t="s">
        <v>582</v>
      </c>
      <c r="S5" s="24"/>
    </row>
    <row r="6" spans="1:21" x14ac:dyDescent="0.2">
      <c r="A6" s="1204"/>
      <c r="B6" s="1204"/>
      <c r="C6" s="1186"/>
      <c r="D6" s="1186"/>
      <c r="E6" s="1186"/>
      <c r="F6" s="1186"/>
      <c r="G6" s="1186"/>
      <c r="H6" s="1204"/>
      <c r="I6" s="24"/>
      <c r="J6" s="31"/>
      <c r="K6" s="1272"/>
      <c r="L6" s="1186"/>
      <c r="M6" s="1204"/>
      <c r="O6" s="1390" t="s">
        <v>583</v>
      </c>
      <c r="P6" s="1390"/>
      <c r="S6" s="24"/>
    </row>
    <row r="7" spans="1:21" ht="12.75" customHeight="1" x14ac:dyDescent="0.2">
      <c r="A7" s="1186" t="s">
        <v>456</v>
      </c>
      <c r="B7" s="1186"/>
      <c r="C7" s="372">
        <f>PRODUCCION!C41</f>
        <v>50000</v>
      </c>
      <c r="D7" s="120">
        <f>PRODUCCION!$C$38</f>
        <v>0.5</v>
      </c>
      <c r="E7" s="23">
        <v>1</v>
      </c>
      <c r="F7" s="1223">
        <v>0.33</v>
      </c>
      <c r="G7" s="1223"/>
      <c r="H7" s="372">
        <f>(C7+C7*D7)*E7*F7*PRODUCCION!$I$37</f>
        <v>297000</v>
      </c>
      <c r="I7" s="24"/>
      <c r="J7" s="31"/>
      <c r="K7" s="1272"/>
      <c r="L7" s="1186"/>
      <c r="M7" s="1204"/>
      <c r="O7" s="1390"/>
      <c r="P7" s="1390"/>
      <c r="S7" s="24"/>
    </row>
    <row r="8" spans="1:21" x14ac:dyDescent="0.2">
      <c r="A8" s="1187" t="s">
        <v>452</v>
      </c>
      <c r="B8" s="1187"/>
      <c r="C8" s="372">
        <f>PRODUCCION!C43</f>
        <v>35000</v>
      </c>
      <c r="D8" s="120">
        <f>PRODUCCION!$C$38</f>
        <v>0.5</v>
      </c>
      <c r="E8" s="23">
        <v>1</v>
      </c>
      <c r="F8" s="1223">
        <v>0.33</v>
      </c>
      <c r="G8" s="1223"/>
      <c r="H8" s="372">
        <f>(C8+C8*D8)*E8*F8*PRODUCCION!$I$37</f>
        <v>207900</v>
      </c>
      <c r="I8" s="24"/>
      <c r="J8" s="31"/>
      <c r="K8" s="435" t="s">
        <v>506</v>
      </c>
      <c r="L8" s="436">
        <f>'E-Inv AF y Am'!E56</f>
        <v>797908.38109166664</v>
      </c>
      <c r="M8" s="437">
        <f>L8*$R$3</f>
        <v>39895.419054583333</v>
      </c>
      <c r="S8" s="24"/>
    </row>
    <row r="9" spans="1:21" x14ac:dyDescent="0.2">
      <c r="A9" s="1187" t="s">
        <v>448</v>
      </c>
      <c r="B9" s="1187"/>
      <c r="C9" s="372">
        <f>PRODUCCION!C44</f>
        <v>20000</v>
      </c>
      <c r="D9" s="120">
        <f>PRODUCCION!$C$38</f>
        <v>0.5</v>
      </c>
      <c r="E9" s="23">
        <v>1</v>
      </c>
      <c r="F9" s="1223">
        <v>0.33</v>
      </c>
      <c r="G9" s="1223"/>
      <c r="H9" s="372">
        <f>(C9+C9*D9)*E9*F9*PRODUCCION!$I$37</f>
        <v>118800</v>
      </c>
      <c r="I9" s="24"/>
      <c r="J9" s="31"/>
      <c r="K9" s="435" t="s">
        <v>504</v>
      </c>
      <c r="L9" s="436">
        <f>'E-Inv AF y Am'!D56</f>
        <v>797908.38109166664</v>
      </c>
      <c r="M9" s="437">
        <f>L9*$R$3</f>
        <v>39895.419054583333</v>
      </c>
      <c r="S9" s="24"/>
    </row>
    <row r="10" spans="1:21" x14ac:dyDescent="0.2">
      <c r="A10" s="1187" t="s">
        <v>443</v>
      </c>
      <c r="B10" s="1187"/>
      <c r="C10" s="372">
        <f>PRODUCCION!C46</f>
        <v>13000</v>
      </c>
      <c r="D10" s="120">
        <f>PRODUCCION!$C$38</f>
        <v>0.5</v>
      </c>
      <c r="E10" s="23">
        <v>1</v>
      </c>
      <c r="F10" s="1223">
        <v>0.1</v>
      </c>
      <c r="G10" s="1223"/>
      <c r="H10" s="372">
        <f>(C10+C10*D10)*E10*F10*PRODUCCION!$I$37</f>
        <v>23400</v>
      </c>
      <c r="I10" s="24"/>
      <c r="J10" s="31"/>
      <c r="K10" s="435">
        <v>1</v>
      </c>
      <c r="L10" s="436">
        <f>'E-Inv AF y Am'!D56</f>
        <v>797908.38109166664</v>
      </c>
      <c r="M10" s="437">
        <f>L10*$R$3</f>
        <v>39895.419054583333</v>
      </c>
      <c r="S10" s="24"/>
    </row>
    <row r="11" spans="1:21" x14ac:dyDescent="0.2">
      <c r="A11" s="1187" t="s">
        <v>441</v>
      </c>
      <c r="B11" s="1187"/>
      <c r="C11" s="372">
        <f>PRODUCCION!C47</f>
        <v>12000</v>
      </c>
      <c r="D11" s="120">
        <f>PRODUCCION!$C$38</f>
        <v>0.5</v>
      </c>
      <c r="E11" s="23">
        <v>1</v>
      </c>
      <c r="F11" s="1223">
        <v>0.33</v>
      </c>
      <c r="G11" s="1223"/>
      <c r="H11" s="372">
        <f>(C11+C11*D11)*E11*F11*PRODUCCION!$I$37</f>
        <v>71280</v>
      </c>
      <c r="I11" s="24"/>
      <c r="J11" s="31"/>
      <c r="S11" s="24"/>
    </row>
    <row r="12" spans="1:21" x14ac:dyDescent="0.2">
      <c r="A12" s="1187" t="s">
        <v>532</v>
      </c>
      <c r="B12" s="1187"/>
      <c r="C12" s="372">
        <f>PRODUCCION!C48</f>
        <v>12000</v>
      </c>
      <c r="D12" s="120">
        <f>PRODUCCION!$C$38</f>
        <v>0.5</v>
      </c>
      <c r="E12" s="23">
        <v>1</v>
      </c>
      <c r="F12" s="1223">
        <v>0.33</v>
      </c>
      <c r="G12" s="1223"/>
      <c r="H12" s="372">
        <f>(C12+C12*D12)*E12*F12*PRODUCCION!$I$37</f>
        <v>71280</v>
      </c>
      <c r="I12" s="24"/>
      <c r="J12" s="31"/>
      <c r="S12" s="24"/>
    </row>
    <row r="13" spans="1:21" ht="13.5" thickBot="1" x14ac:dyDescent="0.25">
      <c r="A13" s="31"/>
      <c r="J13" s="4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27"/>
    </row>
    <row r="14" spans="1:21" ht="12.75" customHeight="1" thickBot="1" x14ac:dyDescent="0.25">
      <c r="A14" s="23" t="s">
        <v>403</v>
      </c>
      <c r="E14" s="23" t="s">
        <v>48</v>
      </c>
      <c r="J14" s="82" t="s">
        <v>584</v>
      </c>
      <c r="O14" s="1433" t="s">
        <v>583</v>
      </c>
      <c r="P14" s="1433"/>
      <c r="U14" s="24"/>
    </row>
    <row r="15" spans="1:21" ht="12.75" customHeight="1" x14ac:dyDescent="0.2">
      <c r="A15" s="1187" t="s">
        <v>585</v>
      </c>
      <c r="B15" s="1187"/>
      <c r="C15" s="326">
        <f>SUM(H7:H12)</f>
        <v>789660</v>
      </c>
      <c r="E15" s="1187" t="s">
        <v>585</v>
      </c>
      <c r="F15" s="1187"/>
      <c r="G15" s="434">
        <f>C15*C4</f>
        <v>710694</v>
      </c>
      <c r="J15" s="1227" t="s">
        <v>586</v>
      </c>
      <c r="K15" s="1434"/>
      <c r="L15" s="1434"/>
      <c r="O15" s="1433"/>
      <c r="P15" s="1433"/>
      <c r="U15" s="24"/>
    </row>
    <row r="16" spans="1:21" x14ac:dyDescent="0.2">
      <c r="A16" s="31"/>
      <c r="E16" s="13"/>
      <c r="J16" s="1435" t="s">
        <v>587</v>
      </c>
      <c r="K16" s="1436"/>
      <c r="L16" s="413">
        <v>0.9</v>
      </c>
      <c r="M16" t="s">
        <v>588</v>
      </c>
      <c r="U16" s="24"/>
    </row>
    <row r="17" spans="1:21" x14ac:dyDescent="0.2">
      <c r="A17" s="31"/>
      <c r="B17" s="1390" t="s">
        <v>589</v>
      </c>
      <c r="C17" s="1390"/>
      <c r="J17" s="31"/>
      <c r="U17" s="24"/>
    </row>
    <row r="18" spans="1:21" x14ac:dyDescent="0.2">
      <c r="A18" s="31"/>
      <c r="B18" s="1390"/>
      <c r="C18" s="1390"/>
      <c r="J18" s="23" t="s">
        <v>394</v>
      </c>
      <c r="N18" s="23" t="s">
        <v>393</v>
      </c>
      <c r="R18" s="23" t="s">
        <v>48</v>
      </c>
      <c r="U18" s="24"/>
    </row>
    <row r="19" spans="1:21" x14ac:dyDescent="0.2">
      <c r="A19" s="31"/>
      <c r="J19" s="1187" t="s">
        <v>585</v>
      </c>
      <c r="K19" s="1187"/>
      <c r="L19" s="370">
        <f>SUM(M34:M36)</f>
        <v>167437.57989953121</v>
      </c>
      <c r="N19" s="1187" t="s">
        <v>585</v>
      </c>
      <c r="O19" s="1187"/>
      <c r="P19" s="370">
        <f>SUM(M34:M36)</f>
        <v>167437.57989953121</v>
      </c>
      <c r="R19" s="1187" t="s">
        <v>585</v>
      </c>
      <c r="S19" s="1187"/>
      <c r="T19" s="370">
        <f>SUM(N34:N36)</f>
        <v>150693.82190957811</v>
      </c>
      <c r="U19" s="24"/>
    </row>
    <row r="20" spans="1:21" x14ac:dyDescent="0.2">
      <c r="A20" s="31"/>
      <c r="J20" s="31"/>
      <c r="U20" s="24"/>
    </row>
    <row r="21" spans="1:21" x14ac:dyDescent="0.2">
      <c r="A21" s="30"/>
      <c r="B21" s="29"/>
      <c r="C21" s="29"/>
      <c r="D21" s="29"/>
      <c r="E21" s="29"/>
      <c r="F21" s="29"/>
      <c r="G21" s="29"/>
      <c r="H21" s="29"/>
      <c r="I21" s="29"/>
      <c r="J21" s="31"/>
      <c r="U21" s="24"/>
    </row>
    <row r="22" spans="1:21" ht="13.5" thickBot="1" x14ac:dyDescent="0.25">
      <c r="A22" s="40"/>
      <c r="B22" s="39"/>
      <c r="C22" s="39"/>
      <c r="D22" s="39"/>
      <c r="E22" s="39"/>
      <c r="F22" s="39"/>
      <c r="G22" s="39"/>
      <c r="H22" s="39"/>
      <c r="I22" s="27"/>
      <c r="J22" s="31" t="s">
        <v>723</v>
      </c>
      <c r="U22" s="24"/>
    </row>
    <row r="23" spans="1:21" ht="13.5" thickBot="1" x14ac:dyDescent="0.25">
      <c r="A23" s="82" t="s">
        <v>590</v>
      </c>
      <c r="I23" s="24"/>
      <c r="J23" s="31"/>
      <c r="U23" s="24"/>
    </row>
    <row r="24" spans="1:21" x14ac:dyDescent="0.2">
      <c r="A24" s="1430" t="s">
        <v>591</v>
      </c>
      <c r="B24" s="1174"/>
      <c r="C24" s="1173"/>
      <c r="I24" s="24"/>
      <c r="J24" s="31" t="s">
        <v>724</v>
      </c>
      <c r="K24">
        <v>1.4999999999999999E-2</v>
      </c>
      <c r="L24" t="s">
        <v>725</v>
      </c>
      <c r="R24">
        <v>0.05</v>
      </c>
      <c r="U24" s="24"/>
    </row>
    <row r="25" spans="1:21" x14ac:dyDescent="0.2">
      <c r="A25" s="1431" t="s">
        <v>592</v>
      </c>
      <c r="B25" s="1432"/>
      <c r="C25" s="1432"/>
      <c r="D25" s="1432"/>
      <c r="E25" s="413">
        <v>0.02</v>
      </c>
      <c r="F25" t="s">
        <v>593</v>
      </c>
      <c r="I25" s="24"/>
      <c r="J25" s="31"/>
      <c r="U25" s="24"/>
    </row>
    <row r="26" spans="1:21" x14ac:dyDescent="0.2">
      <c r="A26" s="1431" t="s">
        <v>594</v>
      </c>
      <c r="B26" s="1432"/>
      <c r="C26" s="413">
        <v>0.9</v>
      </c>
      <c r="D26" t="s">
        <v>595</v>
      </c>
      <c r="I26" s="24"/>
      <c r="J26" s="31" t="s">
        <v>726</v>
      </c>
      <c r="K26">
        <v>0.01</v>
      </c>
      <c r="L26" t="s">
        <v>727</v>
      </c>
      <c r="U26" s="24"/>
    </row>
    <row r="27" spans="1:21" x14ac:dyDescent="0.2">
      <c r="A27" s="23" t="s">
        <v>403</v>
      </c>
      <c r="I27" s="24"/>
      <c r="J27" s="31"/>
      <c r="U27" s="24"/>
    </row>
    <row r="28" spans="1:21" x14ac:dyDescent="0.2">
      <c r="A28" s="1409" t="s">
        <v>585</v>
      </c>
      <c r="B28" s="1411"/>
      <c r="C28" s="372">
        <f>E25*PRODUCCION!M41</f>
        <v>1117.7258841599999</v>
      </c>
      <c r="I28" s="24"/>
      <c r="J28" s="31" t="s">
        <v>728</v>
      </c>
      <c r="M28">
        <v>0.03</v>
      </c>
      <c r="N28" t="s">
        <v>729</v>
      </c>
      <c r="U28" s="24"/>
    </row>
    <row r="29" spans="1:21" x14ac:dyDescent="0.2">
      <c r="A29" s="31"/>
      <c r="E29" s="1390" t="s">
        <v>596</v>
      </c>
      <c r="F29" s="1390"/>
      <c r="G29" s="1390"/>
      <c r="I29" s="24"/>
      <c r="J29" s="31"/>
      <c r="Q29" s="343" t="s">
        <v>745</v>
      </c>
      <c r="U29" s="24"/>
    </row>
    <row r="30" spans="1:21" x14ac:dyDescent="0.2">
      <c r="A30" s="23" t="s">
        <v>48</v>
      </c>
      <c r="E30" s="1390"/>
      <c r="F30" s="1390"/>
      <c r="G30" s="1390"/>
      <c r="I30" s="24"/>
      <c r="J30" s="31" t="s">
        <v>730</v>
      </c>
      <c r="L30">
        <v>0.9</v>
      </c>
      <c r="M30" t="s">
        <v>570</v>
      </c>
      <c r="P30" s="343" t="s">
        <v>48</v>
      </c>
      <c r="Q30" s="370">
        <f>1/12*T19</f>
        <v>12557.818492464841</v>
      </c>
      <c r="U30" s="24"/>
    </row>
    <row r="31" spans="1:21" x14ac:dyDescent="0.2">
      <c r="A31" s="1409" t="s">
        <v>585</v>
      </c>
      <c r="B31" s="1411"/>
      <c r="C31" s="372">
        <f>C28*C26</f>
        <v>1005.9532957439999</v>
      </c>
      <c r="I31" s="24"/>
      <c r="J31" s="31"/>
      <c r="P31" s="343" t="s">
        <v>746</v>
      </c>
      <c r="Q31" s="370">
        <f>1/12*P19</f>
        <v>13953.131658294267</v>
      </c>
      <c r="U31" s="24"/>
    </row>
    <row r="32" spans="1:21" x14ac:dyDescent="0.2">
      <c r="A32" s="31"/>
      <c r="I32" s="24"/>
      <c r="J32" s="31"/>
      <c r="Q32" s="184"/>
      <c r="U32" s="24"/>
    </row>
    <row r="33" spans="1:21" x14ac:dyDescent="0.2">
      <c r="A33" s="31"/>
      <c r="I33" s="24"/>
      <c r="J33" s="31"/>
      <c r="M33" s="435" t="s">
        <v>403</v>
      </c>
      <c r="N33" s="435" t="s">
        <v>48</v>
      </c>
      <c r="U33" s="24"/>
    </row>
    <row r="34" spans="1:21" x14ac:dyDescent="0.2">
      <c r="A34" s="30"/>
      <c r="B34" s="29"/>
      <c r="C34" s="29"/>
      <c r="D34" s="29"/>
      <c r="E34" s="29"/>
      <c r="F34" s="29"/>
      <c r="G34" s="29"/>
      <c r="H34" s="29"/>
      <c r="I34" s="28"/>
      <c r="J34" s="31"/>
      <c r="K34" s="1409" t="s">
        <v>443</v>
      </c>
      <c r="L34" s="1411"/>
      <c r="M34" s="404">
        <f>'E-Inv AF y Am'!B20*ADM!K24*ADM!R24</f>
        <v>5241.8274775312502</v>
      </c>
      <c r="N34" s="404">
        <f>0.9*M34</f>
        <v>4717.6447297781251</v>
      </c>
      <c r="U34" s="24"/>
    </row>
    <row r="35" spans="1:21" ht="13.5" thickBot="1" x14ac:dyDescent="0.25">
      <c r="A35" s="40"/>
      <c r="B35" s="39"/>
      <c r="C35" s="39"/>
      <c r="D35" s="39"/>
      <c r="E35" s="39"/>
      <c r="F35" s="39"/>
      <c r="G35" s="39"/>
      <c r="H35" s="39"/>
      <c r="I35" s="27"/>
      <c r="K35" s="1409" t="s">
        <v>731</v>
      </c>
      <c r="L35" s="1411"/>
      <c r="M35" s="404">
        <f>AVERAGE('E-Costos'!C17:F17)*K26</f>
        <v>138505.95242199997</v>
      </c>
      <c r="N35" s="404">
        <f>0.9*M35</f>
        <v>124655.35717979998</v>
      </c>
      <c r="U35" s="24"/>
    </row>
    <row r="36" spans="1:21" ht="13.5" thickBot="1" x14ac:dyDescent="0.25">
      <c r="A36" s="82" t="s">
        <v>597</v>
      </c>
      <c r="I36" s="24"/>
      <c r="K36" s="1409" t="s">
        <v>732</v>
      </c>
      <c r="L36" s="1411"/>
      <c r="M36" s="404">
        <f>C15*M28</f>
        <v>23689.8</v>
      </c>
      <c r="N36" s="404">
        <f>0.9*M36</f>
        <v>21320.82</v>
      </c>
      <c r="U36" s="24"/>
    </row>
    <row r="37" spans="1:21" x14ac:dyDescent="0.2">
      <c r="A37" s="1430" t="s">
        <v>598</v>
      </c>
      <c r="B37" s="1174"/>
      <c r="C37" s="1173"/>
      <c r="I37" s="24"/>
      <c r="M37" s="126"/>
      <c r="N37" s="126"/>
      <c r="U37" s="24"/>
    </row>
    <row r="38" spans="1:21" x14ac:dyDescent="0.2">
      <c r="A38" s="31"/>
      <c r="C38" s="184"/>
      <c r="I38" s="24"/>
      <c r="U38" s="24"/>
    </row>
    <row r="39" spans="1:21" x14ac:dyDescent="0.2">
      <c r="A39" s="1187" t="s">
        <v>599</v>
      </c>
      <c r="B39" s="1187"/>
      <c r="C39" s="372">
        <v>20000</v>
      </c>
      <c r="I39" s="24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8"/>
    </row>
    <row r="40" spans="1:21" ht="13.5" thickBot="1" x14ac:dyDescent="0.25">
      <c r="A40" s="1204" t="s">
        <v>600</v>
      </c>
      <c r="B40" s="1204"/>
      <c r="C40" s="372">
        <v>15000</v>
      </c>
      <c r="J40" s="40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27"/>
    </row>
    <row r="41" spans="1:21" ht="13.5" thickBot="1" x14ac:dyDescent="0.25">
      <c r="A41" s="1186" t="s">
        <v>601</v>
      </c>
      <c r="B41" s="1186"/>
      <c r="C41" s="372">
        <v>40000</v>
      </c>
      <c r="J41" s="82" t="s">
        <v>602</v>
      </c>
      <c r="U41" s="24"/>
    </row>
    <row r="42" spans="1:21" x14ac:dyDescent="0.2">
      <c r="A42" s="31"/>
      <c r="J42" s="1419" t="s">
        <v>603</v>
      </c>
      <c r="K42" s="1223"/>
      <c r="L42" s="1223"/>
      <c r="M42" s="1223"/>
      <c r="U42" s="24"/>
    </row>
    <row r="43" spans="1:21" x14ac:dyDescent="0.2">
      <c r="A43" s="23" t="s">
        <v>604</v>
      </c>
      <c r="J43" s="31"/>
      <c r="U43" s="24"/>
    </row>
    <row r="44" spans="1:21" x14ac:dyDescent="0.2">
      <c r="A44" s="1409" t="s">
        <v>585</v>
      </c>
      <c r="B44" s="1411"/>
      <c r="C44" s="372">
        <f>SUM(C39:C41)</f>
        <v>75000</v>
      </c>
      <c r="J44" s="1443" t="s">
        <v>605</v>
      </c>
      <c r="K44" s="1444"/>
      <c r="L44" s="1444"/>
      <c r="M44" s="118">
        <v>0.05</v>
      </c>
      <c r="N44" t="s">
        <v>606</v>
      </c>
      <c r="U44" s="24"/>
    </row>
    <row r="45" spans="1:21" x14ac:dyDescent="0.2">
      <c r="A45" s="31"/>
      <c r="J45" s="1443" t="s">
        <v>607</v>
      </c>
      <c r="K45" s="1444"/>
      <c r="L45" s="1444"/>
      <c r="M45" s="413">
        <v>0.05</v>
      </c>
      <c r="N45" t="s">
        <v>608</v>
      </c>
      <c r="U45" s="24"/>
    </row>
    <row r="46" spans="1:21" x14ac:dyDescent="0.2">
      <c r="A46" s="1445" t="s">
        <v>609</v>
      </c>
      <c r="B46" s="1390"/>
      <c r="C46" s="1390"/>
      <c r="D46" s="1390"/>
      <c r="J46" s="1443" t="s">
        <v>610</v>
      </c>
      <c r="K46" s="1444"/>
      <c r="L46" s="1444"/>
      <c r="M46" s="413">
        <v>0.02</v>
      </c>
      <c r="N46" t="s">
        <v>611</v>
      </c>
      <c r="U46" s="24"/>
    </row>
    <row r="47" spans="1:21" x14ac:dyDescent="0.2">
      <c r="A47" s="1445"/>
      <c r="B47" s="1390"/>
      <c r="C47" s="1390"/>
      <c r="D47" s="1390"/>
      <c r="J47" s="1443" t="s">
        <v>612</v>
      </c>
      <c r="K47" s="1444"/>
      <c r="L47" s="1444"/>
      <c r="M47" s="438">
        <v>4.0000000000000002E-4</v>
      </c>
      <c r="N47" t="s">
        <v>613</v>
      </c>
      <c r="U47" s="24"/>
    </row>
    <row r="48" spans="1:21" ht="13.5" thickBot="1" x14ac:dyDescent="0.25">
      <c r="A48" s="31"/>
      <c r="B48" s="29"/>
      <c r="C48" s="29"/>
      <c r="D48" s="29"/>
      <c r="E48" s="29"/>
      <c r="F48" s="29"/>
      <c r="G48" s="29"/>
      <c r="H48" s="29"/>
      <c r="I48" s="29"/>
      <c r="J48" s="1443" t="s">
        <v>614</v>
      </c>
      <c r="K48" s="1412"/>
      <c r="L48" s="1412"/>
      <c r="M48" s="438">
        <v>1.2E-2</v>
      </c>
      <c r="N48" t="s">
        <v>613</v>
      </c>
      <c r="U48" s="24"/>
    </row>
    <row r="49" spans="1:21" ht="13.5" thickBot="1" x14ac:dyDescent="0.25">
      <c r="A49" s="82" t="s">
        <v>734</v>
      </c>
      <c r="J49" s="31"/>
      <c r="U49" s="24"/>
    </row>
    <row r="50" spans="1:21" ht="13.5" thickBot="1" x14ac:dyDescent="0.25">
      <c r="J50" s="83" t="s">
        <v>604</v>
      </c>
      <c r="U50" s="24"/>
    </row>
    <row r="51" spans="1:21" x14ac:dyDescent="0.2">
      <c r="A51" s="1172" t="s">
        <v>735</v>
      </c>
      <c r="B51" s="1174"/>
      <c r="C51" s="1173"/>
      <c r="J51" s="1439" t="s">
        <v>411</v>
      </c>
      <c r="K51" s="1440"/>
      <c r="L51" s="1440"/>
      <c r="M51" s="439">
        <f>PRODUCCION!$C$93*ADM!M44</f>
        <v>504</v>
      </c>
      <c r="U51" s="24"/>
    </row>
    <row r="52" spans="1:21" x14ac:dyDescent="0.2">
      <c r="J52" s="1441" t="s">
        <v>615</v>
      </c>
      <c r="K52" s="1187"/>
      <c r="L52" s="1187"/>
      <c r="M52" s="440">
        <f>PRODUCCION!$C$94*ADM!M45</f>
        <v>630</v>
      </c>
      <c r="U52" s="24"/>
    </row>
    <row r="53" spans="1:21" x14ac:dyDescent="0.2">
      <c r="A53" t="s">
        <v>736</v>
      </c>
      <c r="J53" s="1441" t="s">
        <v>616</v>
      </c>
      <c r="K53" s="1187"/>
      <c r="L53" s="1187"/>
      <c r="M53" s="440">
        <f>PRODUCCION!$C$95*ADM!M46</f>
        <v>60</v>
      </c>
      <c r="O53" s="1390" t="s">
        <v>617</v>
      </c>
      <c r="P53" s="1390"/>
      <c r="Q53" s="1390"/>
      <c r="U53" s="24"/>
    </row>
    <row r="54" spans="1:21" x14ac:dyDescent="0.2">
      <c r="A54" t="s">
        <v>737</v>
      </c>
      <c r="C54" s="53">
        <v>0.95</v>
      </c>
      <c r="D54" t="s">
        <v>570</v>
      </c>
      <c r="J54" s="1441" t="s">
        <v>618</v>
      </c>
      <c r="K54" s="1187"/>
      <c r="L54" s="1187"/>
      <c r="M54" s="440">
        <f>InfoInicial!$B$45*ADM!M47</f>
        <v>12000</v>
      </c>
      <c r="O54" s="1390"/>
      <c r="P54" s="1390"/>
      <c r="Q54" s="1390"/>
      <c r="U54" s="24"/>
    </row>
    <row r="55" spans="1:21" x14ac:dyDescent="0.2">
      <c r="J55" s="1441" t="s">
        <v>614</v>
      </c>
      <c r="K55" s="1187"/>
      <c r="L55" s="1187"/>
      <c r="M55" s="440">
        <f>InfoInicial!$B$45*ADM!M48</f>
        <v>360000</v>
      </c>
      <c r="U55" s="24"/>
    </row>
    <row r="56" spans="1:21" x14ac:dyDescent="0.2">
      <c r="B56" s="343" t="s">
        <v>48</v>
      </c>
      <c r="C56" s="343" t="s">
        <v>403</v>
      </c>
      <c r="J56" s="1442"/>
      <c r="K56" s="1174"/>
      <c r="L56" s="1173"/>
      <c r="M56" s="441"/>
      <c r="U56" s="24"/>
    </row>
    <row r="57" spans="1:21" ht="13.5" thickBot="1" x14ac:dyDescent="0.25">
      <c r="A57" s="343" t="s">
        <v>585</v>
      </c>
      <c r="B57" s="404">
        <f>(B60*D60+B61*D61+H61)*C54</f>
        <v>95018.559199999989</v>
      </c>
      <c r="C57" s="404">
        <f>B60*D60+B61*D61+H61</f>
        <v>100019.53599999999</v>
      </c>
      <c r="J57" s="1437" t="s">
        <v>619</v>
      </c>
      <c r="K57" s="1438"/>
      <c r="L57" s="1438"/>
      <c r="M57" s="442">
        <f>SUM(M51:M55)</f>
        <v>373194</v>
      </c>
      <c r="U57" s="24"/>
    </row>
    <row r="58" spans="1:21" x14ac:dyDescent="0.2">
      <c r="J58" s="31"/>
      <c r="U58" s="24"/>
    </row>
    <row r="59" spans="1:21" x14ac:dyDescent="0.2">
      <c r="J59" s="30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8"/>
    </row>
    <row r="60" spans="1:21" x14ac:dyDescent="0.2">
      <c r="A60" s="343" t="s">
        <v>561</v>
      </c>
      <c r="B60" s="23">
        <v>1000</v>
      </c>
      <c r="C60" s="23" t="s">
        <v>562</v>
      </c>
      <c r="D60" s="23">
        <v>19</v>
      </c>
      <c r="E60" s="23" t="s">
        <v>564</v>
      </c>
    </row>
    <row r="61" spans="1:21" x14ac:dyDescent="0.2">
      <c r="A61" s="343" t="s">
        <v>738</v>
      </c>
      <c r="B61" s="23">
        <v>2000</v>
      </c>
      <c r="C61" s="23" t="s">
        <v>739</v>
      </c>
      <c r="D61" s="443">
        <v>0.117768</v>
      </c>
      <c r="E61" s="23" t="s">
        <v>566</v>
      </c>
      <c r="F61" s="23" t="s">
        <v>740</v>
      </c>
      <c r="G61" s="23"/>
      <c r="H61" s="404">
        <v>80784</v>
      </c>
      <c r="I61" t="s">
        <v>565</v>
      </c>
    </row>
  </sheetData>
  <mergeCells count="63">
    <mergeCell ref="A51:C51"/>
    <mergeCell ref="A37:C37"/>
    <mergeCell ref="A28:B28"/>
    <mergeCell ref="A31:B31"/>
    <mergeCell ref="K34:L34"/>
    <mergeCell ref="K35:L35"/>
    <mergeCell ref="K36:L36"/>
    <mergeCell ref="A44:B44"/>
    <mergeCell ref="J47:L47"/>
    <mergeCell ref="J46:L46"/>
    <mergeCell ref="J45:L45"/>
    <mergeCell ref="J44:L44"/>
    <mergeCell ref="A40:B40"/>
    <mergeCell ref="A41:B41"/>
    <mergeCell ref="J42:M42"/>
    <mergeCell ref="A46:D47"/>
    <mergeCell ref="J48:L48"/>
    <mergeCell ref="J19:K19"/>
    <mergeCell ref="N19:O19"/>
    <mergeCell ref="R19:S19"/>
    <mergeCell ref="E29:G30"/>
    <mergeCell ref="J57:L57"/>
    <mergeCell ref="J51:L51"/>
    <mergeCell ref="J52:L52"/>
    <mergeCell ref="J53:L53"/>
    <mergeCell ref="O53:Q54"/>
    <mergeCell ref="J54:L54"/>
    <mergeCell ref="J55:L55"/>
    <mergeCell ref="J56:L56"/>
    <mergeCell ref="O14:P15"/>
    <mergeCell ref="A15:B15"/>
    <mergeCell ref="E15:F15"/>
    <mergeCell ref="J15:L15"/>
    <mergeCell ref="B17:C18"/>
    <mergeCell ref="J16:K16"/>
    <mergeCell ref="A11:B11"/>
    <mergeCell ref="F11:G11"/>
    <mergeCell ref="A39:B39"/>
    <mergeCell ref="A12:B12"/>
    <mergeCell ref="F12:G12"/>
    <mergeCell ref="A24:C24"/>
    <mergeCell ref="A25:D25"/>
    <mergeCell ref="A26:B26"/>
    <mergeCell ref="A8:B8"/>
    <mergeCell ref="F8:G8"/>
    <mergeCell ref="A9:B9"/>
    <mergeCell ref="F9:G9"/>
    <mergeCell ref="A10:B10"/>
    <mergeCell ref="F10:G10"/>
    <mergeCell ref="P3:Q3"/>
    <mergeCell ref="A5:B6"/>
    <mergeCell ref="C5:C6"/>
    <mergeCell ref="D5:D6"/>
    <mergeCell ref="E5:E6"/>
    <mergeCell ref="F5:G6"/>
    <mergeCell ref="H5:H6"/>
    <mergeCell ref="K5:K7"/>
    <mergeCell ref="L5:L7"/>
    <mergeCell ref="M5:M7"/>
    <mergeCell ref="O6:P7"/>
    <mergeCell ref="A7:B7"/>
    <mergeCell ref="F7:G7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49"/>
  <sheetViews>
    <sheetView zoomScale="70" zoomScaleNormal="70" workbookViewId="0">
      <selection activeCell="N15" sqref="N15"/>
    </sheetView>
  </sheetViews>
  <sheetFormatPr baseColWidth="10" defaultColWidth="11.5703125" defaultRowHeight="12.75" x14ac:dyDescent="0.2"/>
  <cols>
    <col min="2" max="2" width="20.7109375" customWidth="1"/>
    <col min="3" max="3" width="16.5703125" customWidth="1"/>
    <col min="4" max="4" width="15.28515625" customWidth="1"/>
    <col min="5" max="5" width="15.42578125" customWidth="1"/>
    <col min="6" max="6" width="16.7109375" customWidth="1"/>
    <col min="7" max="7" width="16.28515625" customWidth="1"/>
    <col min="8" max="8" width="21.7109375" customWidth="1"/>
    <col min="9" max="10" width="18" customWidth="1"/>
    <col min="11" max="11" width="26.140625" customWidth="1"/>
    <col min="14" max="14" width="14.42578125" bestFit="1" customWidth="1"/>
  </cols>
  <sheetData>
    <row r="1" spans="1:19" ht="15" x14ac:dyDescent="0.2">
      <c r="A1" s="444"/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7"/>
    </row>
    <row r="2" spans="1:19" ht="15" x14ac:dyDescent="0.2">
      <c r="A2" s="444" t="s">
        <v>621</v>
      </c>
      <c r="B2" s="444"/>
      <c r="C2" s="444"/>
      <c r="D2" s="444"/>
      <c r="E2" s="449"/>
      <c r="F2" s="449"/>
      <c r="G2" s="449"/>
      <c r="H2" s="444"/>
      <c r="I2" s="444"/>
      <c r="J2" s="444"/>
      <c r="K2" s="444"/>
      <c r="L2" s="444"/>
      <c r="M2" s="444"/>
      <c r="N2" s="444"/>
      <c r="O2" s="444"/>
      <c r="P2" s="444"/>
      <c r="Q2" s="7"/>
    </row>
    <row r="3" spans="1:19" ht="15" x14ac:dyDescent="0.2">
      <c r="A3" s="444"/>
      <c r="B3" s="444"/>
      <c r="C3" s="444"/>
      <c r="D3" s="444"/>
      <c r="E3" s="449"/>
      <c r="F3" s="449"/>
      <c r="G3" s="449"/>
      <c r="H3" s="444"/>
      <c r="I3" s="444"/>
      <c r="J3" s="449"/>
      <c r="K3" s="449"/>
      <c r="L3" s="449"/>
      <c r="M3" s="449"/>
      <c r="N3" s="444"/>
      <c r="O3" s="444"/>
      <c r="P3" s="444"/>
      <c r="Q3" s="7"/>
    </row>
    <row r="4" spans="1:19" ht="15" x14ac:dyDescent="0.2">
      <c r="A4" s="1457"/>
      <c r="B4" s="1457"/>
      <c r="C4" s="1457"/>
      <c r="D4" s="457" t="s">
        <v>47</v>
      </c>
      <c r="E4" s="454"/>
      <c r="F4" s="454"/>
      <c r="G4" s="454"/>
      <c r="H4" s="1448" t="s">
        <v>622</v>
      </c>
      <c r="I4" s="1448"/>
      <c r="J4" s="452"/>
      <c r="K4" s="452"/>
      <c r="L4" s="452"/>
      <c r="M4" s="449"/>
      <c r="N4" s="444"/>
      <c r="O4" s="444"/>
      <c r="P4" s="444"/>
      <c r="Q4" s="7"/>
    </row>
    <row r="5" spans="1:19" ht="15" x14ac:dyDescent="0.2">
      <c r="A5" s="456" t="s">
        <v>623</v>
      </c>
      <c r="B5" s="456"/>
      <c r="C5" s="456"/>
      <c r="D5" s="458">
        <v>0.6</v>
      </c>
      <c r="E5" s="453" t="s">
        <v>624</v>
      </c>
      <c r="F5" s="453"/>
      <c r="G5" s="453"/>
      <c r="H5" s="1459">
        <v>0.03</v>
      </c>
      <c r="I5" s="1460"/>
      <c r="J5" s="449" t="s">
        <v>625</v>
      </c>
      <c r="K5" s="449"/>
      <c r="L5" s="449"/>
      <c r="M5" s="449"/>
      <c r="N5" s="444"/>
      <c r="O5" s="444"/>
      <c r="P5" s="444"/>
      <c r="Q5" s="7"/>
    </row>
    <row r="6" spans="1:19" ht="15" x14ac:dyDescent="0.2">
      <c r="A6" s="1457" t="s">
        <v>626</v>
      </c>
      <c r="B6" s="1457"/>
      <c r="C6" s="1457"/>
      <c r="D6" s="451">
        <v>0</v>
      </c>
      <c r="E6" s="449"/>
      <c r="F6" s="449"/>
      <c r="G6" s="449"/>
      <c r="H6" s="1460">
        <v>30</v>
      </c>
      <c r="I6" s="1460"/>
      <c r="J6" s="1458" t="s">
        <v>433</v>
      </c>
      <c r="K6" s="1458"/>
      <c r="L6" s="1458"/>
      <c r="M6" s="449"/>
      <c r="N6" s="444"/>
      <c r="O6" s="444"/>
      <c r="P6" s="444"/>
      <c r="Q6" s="7"/>
    </row>
    <row r="7" spans="1:19" ht="15" x14ac:dyDescent="0.2">
      <c r="A7" s="1457" t="s">
        <v>627</v>
      </c>
      <c r="B7" s="1457"/>
      <c r="C7" s="1457"/>
      <c r="D7" s="458">
        <v>0.8</v>
      </c>
      <c r="E7" s="449" t="s">
        <v>628</v>
      </c>
      <c r="F7" s="449"/>
      <c r="G7" s="449"/>
      <c r="H7" s="1449">
        <v>6</v>
      </c>
      <c r="I7" s="1449"/>
      <c r="J7" s="449" t="s">
        <v>629</v>
      </c>
      <c r="K7" s="449"/>
      <c r="L7" s="449"/>
      <c r="M7" s="449"/>
      <c r="N7" s="444"/>
      <c r="O7" s="444"/>
      <c r="P7" s="444"/>
      <c r="Q7" s="7"/>
    </row>
    <row r="8" spans="1:19" ht="15" x14ac:dyDescent="0.2">
      <c r="A8" s="1457" t="s">
        <v>630</v>
      </c>
      <c r="B8" s="1457"/>
      <c r="C8" s="1457"/>
      <c r="D8" s="458">
        <v>0.8</v>
      </c>
      <c r="E8" s="455" t="s">
        <v>628</v>
      </c>
      <c r="F8" s="455"/>
      <c r="G8" s="455"/>
      <c r="H8" s="1449">
        <v>3</v>
      </c>
      <c r="I8" s="1449"/>
      <c r="J8" s="449" t="s">
        <v>629</v>
      </c>
      <c r="K8" s="449"/>
      <c r="L8" s="449"/>
      <c r="M8" s="449"/>
      <c r="N8" s="444"/>
      <c r="O8" s="55"/>
      <c r="P8" s="7"/>
      <c r="Q8" s="7"/>
    </row>
    <row r="9" spans="1:19" ht="15" x14ac:dyDescent="0.2">
      <c r="A9" s="444"/>
      <c r="B9" s="444"/>
      <c r="C9" s="444"/>
      <c r="D9" s="444"/>
      <c r="E9" s="449"/>
      <c r="F9" s="449"/>
      <c r="G9" s="449"/>
      <c r="H9" s="444"/>
      <c r="I9" s="444"/>
      <c r="J9" s="449"/>
      <c r="K9" s="449"/>
      <c r="L9" s="449"/>
      <c r="M9" s="449"/>
      <c r="N9" s="444"/>
      <c r="O9" s="55"/>
      <c r="P9" s="55"/>
      <c r="Q9" s="55"/>
      <c r="R9" s="13"/>
      <c r="S9" s="13"/>
    </row>
    <row r="10" spans="1:19" ht="15" x14ac:dyDescent="0.2">
      <c r="A10" s="444"/>
      <c r="B10" s="444"/>
      <c r="C10" s="444"/>
      <c r="D10" s="444"/>
      <c r="E10" s="449"/>
      <c r="F10" s="449"/>
      <c r="G10" s="449"/>
      <c r="H10" s="444"/>
      <c r="I10" s="444"/>
      <c r="J10" s="444"/>
      <c r="K10" s="444"/>
      <c r="L10" s="444"/>
      <c r="M10" s="444"/>
      <c r="N10" s="444"/>
      <c r="O10" s="55"/>
      <c r="P10" s="55"/>
      <c r="Q10" s="55"/>
      <c r="R10" s="13"/>
      <c r="S10" s="13"/>
    </row>
    <row r="11" spans="1:19" ht="15.75" x14ac:dyDescent="0.25">
      <c r="A11" s="1454" t="s">
        <v>623</v>
      </c>
      <c r="B11" s="1455"/>
      <c r="C11" s="1456"/>
      <c r="D11" s="444"/>
      <c r="E11" s="449"/>
      <c r="F11" s="449"/>
      <c r="G11" s="449"/>
      <c r="H11" s="444"/>
      <c r="I11" s="444"/>
      <c r="J11" s="444"/>
      <c r="K11" s="1461" t="s">
        <v>694</v>
      </c>
      <c r="L11" s="1461"/>
      <c r="M11" s="1461"/>
      <c r="N11" s="1461"/>
      <c r="O11" s="55"/>
      <c r="P11" s="55"/>
      <c r="Q11" s="55"/>
      <c r="R11" s="13"/>
      <c r="S11" s="13"/>
    </row>
    <row r="12" spans="1:19" ht="15" x14ac:dyDescent="0.2">
      <c r="A12" s="461" t="s">
        <v>631</v>
      </c>
      <c r="B12" s="1462" t="s">
        <v>632</v>
      </c>
      <c r="C12" s="1463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55"/>
      <c r="P12" s="55"/>
      <c r="Q12" s="55"/>
      <c r="R12" s="13"/>
      <c r="S12" s="123"/>
    </row>
    <row r="13" spans="1:19" ht="15" x14ac:dyDescent="0.2">
      <c r="A13" s="461" t="s">
        <v>47</v>
      </c>
      <c r="B13" s="1450">
        <f>+D5*B14</f>
        <v>540000</v>
      </c>
      <c r="C13" s="1451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  <c r="O13" s="55"/>
      <c r="P13" s="55"/>
      <c r="Q13" s="55"/>
      <c r="R13" s="13"/>
      <c r="S13" s="123"/>
    </row>
    <row r="14" spans="1:19" ht="15" x14ac:dyDescent="0.2">
      <c r="A14" s="461" t="s">
        <v>48</v>
      </c>
      <c r="B14" s="1450">
        <f>$H$5*InfoInicial!$B$45</f>
        <v>900000</v>
      </c>
      <c r="C14" s="1451"/>
      <c r="D14" s="444"/>
      <c r="E14" s="444"/>
      <c r="F14" s="444"/>
      <c r="G14" s="444"/>
      <c r="H14" s="444"/>
      <c r="I14" s="444"/>
      <c r="J14" s="444"/>
      <c r="K14" s="1426" t="s">
        <v>639</v>
      </c>
      <c r="L14" s="1427"/>
      <c r="M14" s="435" t="s">
        <v>553</v>
      </c>
      <c r="N14" s="435" t="s">
        <v>640</v>
      </c>
      <c r="O14" s="55"/>
      <c r="P14" s="55"/>
      <c r="Q14" s="55"/>
      <c r="R14" s="13"/>
      <c r="S14" s="123"/>
    </row>
    <row r="15" spans="1:19" ht="15" x14ac:dyDescent="0.2">
      <c r="A15" s="461" t="s">
        <v>403</v>
      </c>
      <c r="B15" s="1450">
        <f>$H$5*InfoInicial!$B$45</f>
        <v>900000</v>
      </c>
      <c r="C15" s="1451"/>
      <c r="D15" s="444"/>
      <c r="E15" s="444"/>
      <c r="F15" s="444"/>
      <c r="G15" s="444"/>
      <c r="H15" s="444"/>
      <c r="I15" s="444"/>
      <c r="J15" s="444"/>
      <c r="K15" s="459" t="s">
        <v>638</v>
      </c>
      <c r="L15" s="435" t="s">
        <v>641</v>
      </c>
      <c r="M15" s="460" t="s">
        <v>642</v>
      </c>
      <c r="N15" s="460">
        <v>10000</v>
      </c>
      <c r="O15" s="55"/>
      <c r="P15" s="55"/>
      <c r="Q15" s="55"/>
      <c r="R15" s="13"/>
      <c r="S15" s="123"/>
    </row>
    <row r="16" spans="1:19" ht="15" x14ac:dyDescent="0.2">
      <c r="A16" s="444"/>
      <c r="B16" s="444"/>
      <c r="C16" s="444"/>
      <c r="D16" s="444"/>
      <c r="E16" s="444"/>
      <c r="F16" s="444"/>
      <c r="G16" s="444"/>
      <c r="H16" s="444"/>
      <c r="I16" s="444"/>
      <c r="J16" s="444"/>
      <c r="K16" s="479" t="s">
        <v>298</v>
      </c>
      <c r="L16" s="480"/>
      <c r="M16" s="480"/>
      <c r="N16" s="480"/>
      <c r="O16" s="325"/>
      <c r="P16" s="55"/>
      <c r="Q16" s="55"/>
      <c r="R16" s="13"/>
      <c r="S16" s="123"/>
    </row>
    <row r="17" spans="1:19" ht="15" x14ac:dyDescent="0.2">
      <c r="A17" s="444"/>
      <c r="B17" s="444"/>
      <c r="C17" s="444"/>
      <c r="D17" s="444"/>
      <c r="E17" s="444"/>
      <c r="F17" s="444"/>
      <c r="G17" s="444"/>
      <c r="H17" s="444"/>
      <c r="I17" s="444"/>
      <c r="J17" s="444"/>
      <c r="K17" s="462">
        <f t="shared" ref="K17:K33" si="0">M17/$M$24</f>
        <v>0.04</v>
      </c>
      <c r="L17" s="480" t="s">
        <v>546</v>
      </c>
      <c r="M17" s="481">
        <v>4</v>
      </c>
      <c r="N17" s="480">
        <f>$N$15*K17</f>
        <v>400</v>
      </c>
      <c r="O17" s="325"/>
      <c r="P17" s="55"/>
      <c r="Q17" s="55"/>
      <c r="R17" s="13"/>
      <c r="S17" s="123"/>
    </row>
    <row r="18" spans="1:19" ht="15.75" x14ac:dyDescent="0.25">
      <c r="A18" s="1454" t="s">
        <v>633</v>
      </c>
      <c r="B18" s="1455"/>
      <c r="C18" s="1455"/>
      <c r="D18" s="1456"/>
      <c r="E18" s="446"/>
      <c r="F18" s="446"/>
      <c r="G18" s="446"/>
      <c r="H18" s="446"/>
      <c r="I18" s="446"/>
      <c r="J18" s="446"/>
      <c r="K18" s="462">
        <f t="shared" si="0"/>
        <v>0.5</v>
      </c>
      <c r="L18" s="480" t="s">
        <v>552</v>
      </c>
      <c r="M18" s="481">
        <v>50</v>
      </c>
      <c r="N18" s="480">
        <f t="shared" ref="N18:N24" si="1">$N$15*K18</f>
        <v>5000</v>
      </c>
      <c r="O18" s="475"/>
      <c r="P18" s="55"/>
      <c r="Q18" s="55"/>
      <c r="R18" s="13"/>
      <c r="S18" s="123"/>
    </row>
    <row r="19" spans="1:19" ht="15" x14ac:dyDescent="0.2">
      <c r="A19" s="469" t="s">
        <v>631</v>
      </c>
      <c r="B19" s="465" t="s">
        <v>632</v>
      </c>
      <c r="C19" s="449"/>
      <c r="D19" s="449"/>
      <c r="E19" s="449"/>
      <c r="F19" s="444"/>
      <c r="G19" s="444"/>
      <c r="H19" s="444"/>
      <c r="I19" s="444"/>
      <c r="J19" s="444"/>
      <c r="K19" s="462">
        <f t="shared" si="0"/>
        <v>0.15</v>
      </c>
      <c r="L19" s="480" t="s">
        <v>547</v>
      </c>
      <c r="M19" s="481">
        <v>15</v>
      </c>
      <c r="N19" s="480">
        <f t="shared" si="1"/>
        <v>1500</v>
      </c>
      <c r="O19" s="475"/>
      <c r="P19" s="55"/>
      <c r="Q19" s="55"/>
      <c r="R19" s="13"/>
      <c r="S19" s="123"/>
    </row>
    <row r="20" spans="1:19" ht="15" x14ac:dyDescent="0.2">
      <c r="A20" s="465" t="s">
        <v>48</v>
      </c>
      <c r="B20" s="472">
        <f>($H$6*InfoInicial!B46)/365</f>
        <v>2131849.3150684931</v>
      </c>
      <c r="C20" s="468"/>
      <c r="D20" s="468"/>
      <c r="E20" s="449"/>
      <c r="F20" s="444"/>
      <c r="G20" s="444"/>
      <c r="H20" s="444"/>
      <c r="I20" s="444"/>
      <c r="J20" s="444"/>
      <c r="K20" s="462">
        <f t="shared" si="0"/>
        <v>0.01</v>
      </c>
      <c r="L20" s="480" t="s">
        <v>548</v>
      </c>
      <c r="M20" s="481">
        <v>1</v>
      </c>
      <c r="N20" s="480">
        <f t="shared" si="1"/>
        <v>100</v>
      </c>
      <c r="O20" s="325"/>
      <c r="P20" s="55"/>
      <c r="Q20" s="55"/>
      <c r="R20" s="13"/>
      <c r="S20" s="13"/>
    </row>
    <row r="21" spans="1:19" ht="15" x14ac:dyDescent="0.2">
      <c r="A21" s="465" t="s">
        <v>403</v>
      </c>
      <c r="B21" s="472">
        <f>(H6*InfoInicial!$B$45)/360</f>
        <v>2500000</v>
      </c>
      <c r="C21" s="468"/>
      <c r="D21" s="468"/>
      <c r="E21" s="449"/>
      <c r="F21" s="444"/>
      <c r="G21" s="444"/>
      <c r="H21" s="444"/>
      <c r="I21" s="444"/>
      <c r="J21" s="444"/>
      <c r="K21" s="462">
        <f t="shared" si="0"/>
        <v>0.04</v>
      </c>
      <c r="L21" s="480" t="s">
        <v>549</v>
      </c>
      <c r="M21" s="481">
        <v>4</v>
      </c>
      <c r="N21" s="480">
        <f t="shared" si="1"/>
        <v>400</v>
      </c>
      <c r="O21" s="325"/>
      <c r="P21" s="55"/>
      <c r="Q21" s="55"/>
      <c r="R21" s="13"/>
      <c r="S21" s="13"/>
    </row>
    <row r="22" spans="1:19" ht="15" x14ac:dyDescent="0.2">
      <c r="A22" s="444"/>
      <c r="B22" s="444"/>
      <c r="C22" s="449"/>
      <c r="D22" s="449"/>
      <c r="E22" s="449"/>
      <c r="F22" s="444"/>
      <c r="G22" s="444"/>
      <c r="H22" s="444"/>
      <c r="I22" s="444"/>
      <c r="J22" s="444"/>
      <c r="K22" s="462">
        <f t="shared" si="0"/>
        <v>0.16</v>
      </c>
      <c r="L22" s="480" t="s">
        <v>550</v>
      </c>
      <c r="M22" s="481">
        <v>16</v>
      </c>
      <c r="N22" s="480">
        <f t="shared" si="1"/>
        <v>1600</v>
      </c>
      <c r="O22" s="325"/>
      <c r="P22" s="55"/>
      <c r="Q22" s="55"/>
      <c r="R22" s="13"/>
      <c r="S22" s="13"/>
    </row>
    <row r="23" spans="1:19" ht="15" x14ac:dyDescent="0.2">
      <c r="A23" s="444"/>
      <c r="B23" s="444"/>
      <c r="C23" s="444"/>
      <c r="D23" s="444"/>
      <c r="E23" s="444"/>
      <c r="F23" s="444"/>
      <c r="G23" s="444"/>
      <c r="H23" s="444"/>
      <c r="I23" s="444"/>
      <c r="J23" s="444"/>
      <c r="K23" s="462">
        <f t="shared" si="0"/>
        <v>0.1</v>
      </c>
      <c r="L23" s="480" t="s">
        <v>551</v>
      </c>
      <c r="M23" s="481">
        <v>10</v>
      </c>
      <c r="N23" s="480">
        <f t="shared" si="1"/>
        <v>1000</v>
      </c>
      <c r="O23" s="325"/>
      <c r="P23" s="55"/>
      <c r="Q23" s="55"/>
      <c r="R23" s="13"/>
      <c r="S23" s="13"/>
    </row>
    <row r="24" spans="1:19" ht="16.5" thickBot="1" x14ac:dyDescent="0.3">
      <c r="A24" s="1452" t="s">
        <v>634</v>
      </c>
      <c r="B24" s="1453"/>
      <c r="C24" s="444"/>
      <c r="D24" s="444"/>
      <c r="E24" s="444"/>
      <c r="F24" s="444"/>
      <c r="G24" s="444"/>
      <c r="H24" s="444"/>
      <c r="I24" s="444"/>
      <c r="J24" s="444"/>
      <c r="K24" s="463">
        <f t="shared" si="0"/>
        <v>1</v>
      </c>
      <c r="L24" s="480" t="s">
        <v>560</v>
      </c>
      <c r="M24" s="481">
        <f>SUM(M17:M23)</f>
        <v>100</v>
      </c>
      <c r="N24" s="480">
        <f t="shared" si="1"/>
        <v>10000</v>
      </c>
      <c r="O24" s="325"/>
      <c r="P24" s="55"/>
      <c r="Q24" s="55"/>
      <c r="R24" s="13"/>
      <c r="S24" s="13"/>
    </row>
    <row r="25" spans="1:19" ht="15.75" thickBot="1" x14ac:dyDescent="0.25">
      <c r="A25" s="1447" t="s">
        <v>47</v>
      </c>
      <c r="B25" s="457" t="s">
        <v>637</v>
      </c>
      <c r="C25" s="457" t="s">
        <v>536</v>
      </c>
      <c r="D25" s="457" t="s">
        <v>540</v>
      </c>
      <c r="E25" s="457" t="s">
        <v>537</v>
      </c>
      <c r="F25" s="457" t="s">
        <v>538</v>
      </c>
      <c r="G25" s="457" t="s">
        <v>539</v>
      </c>
      <c r="H25" s="457" t="s">
        <v>546</v>
      </c>
      <c r="I25" s="7"/>
      <c r="J25" s="447"/>
      <c r="K25" s="450" t="s">
        <v>604</v>
      </c>
      <c r="L25" s="482"/>
      <c r="M25" s="483"/>
      <c r="N25" s="484"/>
      <c r="O25" s="325"/>
      <c r="P25" s="55"/>
      <c r="Q25" s="55"/>
      <c r="R25" s="13"/>
      <c r="S25" s="13"/>
    </row>
    <row r="26" spans="1:19" ht="15" x14ac:dyDescent="0.2">
      <c r="A26" s="1447"/>
      <c r="B26" s="457" t="s">
        <v>643</v>
      </c>
      <c r="C26" s="457" t="s">
        <v>643</v>
      </c>
      <c r="D26" s="457" t="s">
        <v>643</v>
      </c>
      <c r="E26" s="457" t="s">
        <v>643</v>
      </c>
      <c r="F26" s="457" t="s">
        <v>643</v>
      </c>
      <c r="G26" s="457" t="s">
        <v>643</v>
      </c>
      <c r="H26" s="457" t="s">
        <v>643</v>
      </c>
      <c r="I26" s="447"/>
      <c r="J26" s="444"/>
      <c r="K26" s="464">
        <f t="shared" si="0"/>
        <v>0.04</v>
      </c>
      <c r="L26" s="480" t="s">
        <v>546</v>
      </c>
      <c r="M26" s="480">
        <v>4</v>
      </c>
      <c r="N26" s="485">
        <f t="shared" ref="N26:N32" si="2">K26*$N$33</f>
        <v>1200</v>
      </c>
      <c r="O26" s="325"/>
      <c r="P26" s="55"/>
      <c r="Q26" s="55"/>
      <c r="R26" s="13"/>
      <c r="S26" s="13"/>
    </row>
    <row r="27" spans="1:19" ht="15" x14ac:dyDescent="0.2">
      <c r="A27" s="1448" t="s">
        <v>635</v>
      </c>
      <c r="B27" s="1446">
        <f>N18</f>
        <v>5000</v>
      </c>
      <c r="C27" s="1446">
        <f>N19</f>
        <v>1500</v>
      </c>
      <c r="D27" s="1446">
        <f>N20</f>
        <v>100</v>
      </c>
      <c r="E27" s="1446">
        <f>N21</f>
        <v>400</v>
      </c>
      <c r="F27" s="1446">
        <f>N22</f>
        <v>1600</v>
      </c>
      <c r="G27" s="1446">
        <f>N23</f>
        <v>1000</v>
      </c>
      <c r="H27" s="1446">
        <f>N17</f>
        <v>400</v>
      </c>
      <c r="I27" s="447"/>
      <c r="J27" s="444"/>
      <c r="K27" s="462">
        <f t="shared" si="0"/>
        <v>0.5</v>
      </c>
      <c r="L27" s="480" t="s">
        <v>552</v>
      </c>
      <c r="M27" s="480">
        <v>50</v>
      </c>
      <c r="N27" s="485">
        <f t="shared" si="2"/>
        <v>15000</v>
      </c>
      <c r="O27" s="448"/>
      <c r="P27" s="55"/>
      <c r="Q27" s="55"/>
      <c r="R27" s="13"/>
      <c r="S27" s="13"/>
    </row>
    <row r="28" spans="1:19" ht="15" x14ac:dyDescent="0.2">
      <c r="A28" s="1448"/>
      <c r="B28" s="1446"/>
      <c r="C28" s="1446"/>
      <c r="D28" s="1446"/>
      <c r="E28" s="1446"/>
      <c r="F28" s="1446"/>
      <c r="G28" s="1446"/>
      <c r="H28" s="1446"/>
      <c r="I28" s="447"/>
      <c r="J28" s="444"/>
      <c r="K28" s="462">
        <f t="shared" si="0"/>
        <v>0.15</v>
      </c>
      <c r="L28" s="480" t="s">
        <v>547</v>
      </c>
      <c r="M28" s="480">
        <v>15</v>
      </c>
      <c r="N28" s="485">
        <f t="shared" si="2"/>
        <v>4500</v>
      </c>
      <c r="O28" s="447"/>
      <c r="P28" s="7"/>
      <c r="Q28" s="7"/>
    </row>
    <row r="29" spans="1:19" ht="15" x14ac:dyDescent="0.2">
      <c r="A29" s="1448"/>
      <c r="B29" s="1446"/>
      <c r="C29" s="1446"/>
      <c r="D29" s="1446"/>
      <c r="E29" s="1446"/>
      <c r="F29" s="1446"/>
      <c r="G29" s="1446"/>
      <c r="H29" s="1446"/>
      <c r="I29" s="447"/>
      <c r="J29" s="444"/>
      <c r="K29" s="462">
        <f t="shared" si="0"/>
        <v>0.01</v>
      </c>
      <c r="L29" s="480" t="s">
        <v>548</v>
      </c>
      <c r="M29" s="480">
        <v>1</v>
      </c>
      <c r="N29" s="485">
        <f t="shared" si="2"/>
        <v>300</v>
      </c>
      <c r="O29" s="447"/>
      <c r="P29" s="7"/>
      <c r="Q29" s="7"/>
    </row>
    <row r="30" spans="1:19" ht="15" x14ac:dyDescent="0.2">
      <c r="A30" s="1448"/>
      <c r="B30" s="1446"/>
      <c r="C30" s="1446"/>
      <c r="D30" s="1446"/>
      <c r="E30" s="1446"/>
      <c r="F30" s="1446"/>
      <c r="G30" s="1446"/>
      <c r="H30" s="1446"/>
      <c r="I30" s="447"/>
      <c r="J30" s="444"/>
      <c r="K30" s="462">
        <f t="shared" si="0"/>
        <v>0.04</v>
      </c>
      <c r="L30" s="480" t="s">
        <v>549</v>
      </c>
      <c r="M30" s="480">
        <v>4</v>
      </c>
      <c r="N30" s="485">
        <f t="shared" si="2"/>
        <v>1200</v>
      </c>
      <c r="O30" s="447"/>
      <c r="P30" s="7"/>
      <c r="Q30" s="7"/>
    </row>
    <row r="31" spans="1:19" ht="15" x14ac:dyDescent="0.2">
      <c r="A31" s="457" t="s">
        <v>374</v>
      </c>
      <c r="B31" s="478">
        <v>160</v>
      </c>
      <c r="C31" s="478">
        <v>34</v>
      </c>
      <c r="D31" s="478">
        <v>250</v>
      </c>
      <c r="E31" s="478">
        <v>27.44</v>
      </c>
      <c r="F31" s="478">
        <v>60</v>
      </c>
      <c r="G31" s="478">
        <v>100</v>
      </c>
      <c r="H31" s="478">
        <v>20</v>
      </c>
      <c r="I31" s="448"/>
      <c r="J31" s="444"/>
      <c r="K31" s="462">
        <f t="shared" si="0"/>
        <v>0.16</v>
      </c>
      <c r="L31" s="480" t="s">
        <v>550</v>
      </c>
      <c r="M31" s="480">
        <v>16</v>
      </c>
      <c r="N31" s="485">
        <f t="shared" si="2"/>
        <v>4800</v>
      </c>
      <c r="O31" s="447"/>
      <c r="P31" s="7"/>
      <c r="Q31" s="7"/>
    </row>
    <row r="32" spans="1:19" ht="15.75" x14ac:dyDescent="0.2">
      <c r="A32" s="457" t="s">
        <v>152</v>
      </c>
      <c r="B32" s="470">
        <f t="shared" ref="B32:H32" si="3">B27*B31</f>
        <v>800000</v>
      </c>
      <c r="C32" s="470">
        <f t="shared" si="3"/>
        <v>51000</v>
      </c>
      <c r="D32" s="470">
        <f t="shared" si="3"/>
        <v>25000</v>
      </c>
      <c r="E32" s="470">
        <f t="shared" si="3"/>
        <v>10976</v>
      </c>
      <c r="F32" s="470">
        <f t="shared" si="3"/>
        <v>96000</v>
      </c>
      <c r="G32" s="470">
        <f t="shared" si="3"/>
        <v>100000</v>
      </c>
      <c r="H32" s="470">
        <f t="shared" si="3"/>
        <v>8000</v>
      </c>
      <c r="I32" s="473">
        <f>SUM(B32:H32)</f>
        <v>1090976</v>
      </c>
      <c r="J32" s="444"/>
      <c r="K32" s="462">
        <f t="shared" si="0"/>
        <v>0.1</v>
      </c>
      <c r="L32" s="480" t="s">
        <v>551</v>
      </c>
      <c r="M32" s="480">
        <v>10</v>
      </c>
      <c r="N32" s="485">
        <f t="shared" si="2"/>
        <v>3000</v>
      </c>
      <c r="O32" s="447"/>
      <c r="P32" s="7"/>
      <c r="Q32" s="7"/>
    </row>
    <row r="33" spans="1:17" ht="15" x14ac:dyDescent="0.2">
      <c r="A33" s="447"/>
      <c r="B33" s="447"/>
      <c r="C33" s="447"/>
      <c r="D33" s="447"/>
      <c r="E33" s="447"/>
      <c r="F33" s="447"/>
      <c r="G33" s="447"/>
      <c r="H33" s="447"/>
      <c r="I33" s="447"/>
      <c r="J33" s="447"/>
      <c r="K33" s="462">
        <f t="shared" si="0"/>
        <v>1</v>
      </c>
      <c r="L33" s="480" t="s">
        <v>560</v>
      </c>
      <c r="M33" s="480">
        <f>SUM(M26:M32)</f>
        <v>100</v>
      </c>
      <c r="N33" s="485">
        <v>30000</v>
      </c>
      <c r="O33" s="447"/>
      <c r="P33" s="444"/>
      <c r="Q33" s="7"/>
    </row>
    <row r="34" spans="1:17" ht="15" x14ac:dyDescent="0.2">
      <c r="A34" s="447"/>
      <c r="B34" s="447"/>
      <c r="C34" s="447"/>
      <c r="D34" s="447"/>
      <c r="E34" s="447"/>
      <c r="F34" s="447"/>
      <c r="G34" s="447"/>
      <c r="H34" s="447"/>
      <c r="I34" s="447"/>
      <c r="J34" s="447"/>
      <c r="K34" s="447"/>
      <c r="L34" s="447"/>
      <c r="M34" s="447"/>
      <c r="N34" s="447"/>
      <c r="O34" s="447"/>
      <c r="P34" s="444"/>
      <c r="Q34" s="7"/>
    </row>
    <row r="35" spans="1:17" ht="15" x14ac:dyDescent="0.2">
      <c r="A35" s="447"/>
      <c r="B35" s="447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447"/>
      <c r="P35" s="444"/>
      <c r="Q35" s="7"/>
    </row>
    <row r="36" spans="1:17" ht="15" x14ac:dyDescent="0.2">
      <c r="A36" s="447"/>
      <c r="B36" s="447"/>
      <c r="C36" s="447"/>
      <c r="D36" s="447"/>
      <c r="E36" s="447"/>
      <c r="F36" s="447"/>
      <c r="G36" s="447"/>
      <c r="H36" s="447"/>
      <c r="I36" s="447"/>
      <c r="J36" s="447"/>
      <c r="K36" s="447"/>
      <c r="L36" s="447"/>
      <c r="M36" s="447"/>
      <c r="N36" s="447"/>
      <c r="O36" s="447"/>
      <c r="P36" s="444"/>
      <c r="Q36" s="7"/>
    </row>
    <row r="37" spans="1:17" ht="15" x14ac:dyDescent="0.2">
      <c r="A37" s="1447" t="s">
        <v>604</v>
      </c>
      <c r="B37" s="457" t="s">
        <v>637</v>
      </c>
      <c r="C37" s="457" t="s">
        <v>536</v>
      </c>
      <c r="D37" s="457" t="s">
        <v>540</v>
      </c>
      <c r="E37" s="457" t="s">
        <v>537</v>
      </c>
      <c r="F37" s="457" t="s">
        <v>538</v>
      </c>
      <c r="G37" s="457" t="s">
        <v>539</v>
      </c>
      <c r="H37" s="457" t="s">
        <v>546</v>
      </c>
      <c r="I37" s="447"/>
      <c r="J37" s="444"/>
      <c r="K37" s="7"/>
      <c r="L37" s="7"/>
      <c r="M37" s="7"/>
      <c r="N37" s="444"/>
      <c r="O37" s="444"/>
      <c r="P37" s="7"/>
      <c r="Q37" s="7"/>
    </row>
    <row r="38" spans="1:17" ht="15" x14ac:dyDescent="0.2">
      <c r="A38" s="1447"/>
      <c r="B38" s="457" t="s">
        <v>643</v>
      </c>
      <c r="C38" s="457" t="s">
        <v>643</v>
      </c>
      <c r="D38" s="457" t="s">
        <v>643</v>
      </c>
      <c r="E38" s="457" t="s">
        <v>643</v>
      </c>
      <c r="F38" s="457" t="s">
        <v>643</v>
      </c>
      <c r="G38" s="457" t="s">
        <v>643</v>
      </c>
      <c r="H38" s="457" t="s">
        <v>643</v>
      </c>
      <c r="I38" s="447"/>
      <c r="J38" s="444"/>
      <c r="K38" s="7"/>
      <c r="L38" s="7"/>
      <c r="M38" s="7"/>
      <c r="N38" s="444"/>
      <c r="O38" s="444"/>
      <c r="P38" s="7"/>
      <c r="Q38" s="7"/>
    </row>
    <row r="39" spans="1:17" ht="15" x14ac:dyDescent="0.2">
      <c r="A39" s="1448" t="s">
        <v>636</v>
      </c>
      <c r="B39" s="471">
        <f>N27</f>
        <v>15000</v>
      </c>
      <c r="C39" s="471">
        <f>N28</f>
        <v>4500</v>
      </c>
      <c r="D39" s="471">
        <f>N29</f>
        <v>300</v>
      </c>
      <c r="E39" s="471">
        <f>N30</f>
        <v>1200</v>
      </c>
      <c r="F39" s="471">
        <f>N31</f>
        <v>4800</v>
      </c>
      <c r="G39" s="471">
        <f>N32</f>
        <v>3000</v>
      </c>
      <c r="H39" s="471">
        <f>N26</f>
        <v>1200</v>
      </c>
      <c r="I39" s="447"/>
      <c r="J39" s="444"/>
      <c r="K39" s="7"/>
      <c r="L39" s="7"/>
      <c r="M39" s="7"/>
      <c r="N39" s="444"/>
      <c r="O39" s="444"/>
      <c r="P39" s="7"/>
      <c r="Q39" s="7"/>
    </row>
    <row r="40" spans="1:17" ht="15" x14ac:dyDescent="0.2">
      <c r="A40" s="1448"/>
      <c r="B40" s="476"/>
      <c r="C40" s="476"/>
      <c r="D40" s="476"/>
      <c r="E40" s="476"/>
      <c r="F40" s="476"/>
      <c r="G40" s="476"/>
      <c r="H40" s="476"/>
      <c r="I40" s="447"/>
      <c r="J40" s="444"/>
      <c r="K40" s="7"/>
      <c r="L40" s="7"/>
      <c r="M40" s="7"/>
      <c r="N40" s="444"/>
      <c r="O40" s="444"/>
      <c r="P40" s="7"/>
      <c r="Q40" s="7"/>
    </row>
    <row r="41" spans="1:17" ht="15" x14ac:dyDescent="0.2">
      <c r="A41" s="467" t="s">
        <v>374</v>
      </c>
      <c r="B41" s="477">
        <v>160</v>
      </c>
      <c r="C41" s="477">
        <v>34</v>
      </c>
      <c r="D41" s="477">
        <v>250</v>
      </c>
      <c r="E41" s="477">
        <v>27.44</v>
      </c>
      <c r="F41" s="477">
        <v>60</v>
      </c>
      <c r="G41" s="477">
        <v>100</v>
      </c>
      <c r="H41" s="477">
        <f>N26</f>
        <v>1200</v>
      </c>
      <c r="I41" s="447"/>
      <c r="J41" s="444"/>
      <c r="K41" s="7"/>
      <c r="L41" s="7"/>
      <c r="M41" s="7"/>
      <c r="N41" s="444"/>
      <c r="O41" s="444"/>
      <c r="P41" s="7"/>
      <c r="Q41" s="7"/>
    </row>
    <row r="42" spans="1:17" ht="15.75" x14ac:dyDescent="0.2">
      <c r="A42" s="467" t="s">
        <v>152</v>
      </c>
      <c r="B42" s="471">
        <f>B41*B39</f>
        <v>2400000</v>
      </c>
      <c r="C42" s="471">
        <f t="shared" ref="C42:H42" si="4">C41*C39</f>
        <v>153000</v>
      </c>
      <c r="D42" s="471">
        <f t="shared" si="4"/>
        <v>75000</v>
      </c>
      <c r="E42" s="471">
        <f t="shared" si="4"/>
        <v>32928</v>
      </c>
      <c r="F42" s="471">
        <f t="shared" si="4"/>
        <v>288000</v>
      </c>
      <c r="G42" s="471">
        <f t="shared" si="4"/>
        <v>300000</v>
      </c>
      <c r="H42" s="471">
        <f t="shared" si="4"/>
        <v>1440000</v>
      </c>
      <c r="I42" s="473">
        <f>SUM(B42:H42)</f>
        <v>4688928</v>
      </c>
      <c r="J42" s="444"/>
      <c r="K42" s="7"/>
      <c r="L42" s="7"/>
      <c r="M42" s="7"/>
      <c r="N42" s="444"/>
      <c r="O42" s="444"/>
      <c r="P42" s="7"/>
      <c r="Q42" s="7"/>
    </row>
    <row r="43" spans="1:17" ht="15" x14ac:dyDescent="0.2">
      <c r="A43" s="444"/>
      <c r="B43" s="444"/>
      <c r="C43" s="444"/>
      <c r="D43" s="444"/>
      <c r="E43" s="444"/>
      <c r="F43" s="444"/>
      <c r="G43" s="444"/>
      <c r="H43" s="444"/>
      <c r="I43" s="444"/>
      <c r="J43" s="444"/>
      <c r="K43" s="444"/>
      <c r="L43" s="7"/>
      <c r="M43" s="7"/>
      <c r="N43" s="7"/>
      <c r="O43" s="444"/>
      <c r="P43" s="444"/>
      <c r="Q43" s="7"/>
    </row>
    <row r="44" spans="1:17" ht="15" x14ac:dyDescent="0.2">
      <c r="A44" s="444"/>
      <c r="B44" s="444"/>
      <c r="C44" s="444"/>
      <c r="D44" s="444"/>
      <c r="E44" s="444"/>
      <c r="F44" s="444"/>
      <c r="G44" s="444"/>
      <c r="H44" s="444"/>
      <c r="I44" s="444"/>
      <c r="J44" s="444"/>
      <c r="K44" s="444"/>
      <c r="L44" s="7"/>
      <c r="M44" s="7"/>
      <c r="N44" s="7"/>
      <c r="O44" s="444"/>
      <c r="P44" s="444"/>
      <c r="Q44" s="7"/>
    </row>
    <row r="45" spans="1:17" ht="15" x14ac:dyDescent="0.2">
      <c r="A45" s="444"/>
      <c r="B45" s="444"/>
      <c r="C45" s="444"/>
      <c r="D45" s="444"/>
      <c r="E45" s="444"/>
      <c r="F45" s="444"/>
      <c r="G45" s="444"/>
      <c r="H45" s="444"/>
      <c r="I45" s="444"/>
      <c r="J45" s="444"/>
      <c r="K45" s="444"/>
      <c r="L45" s="7"/>
      <c r="M45" s="7"/>
      <c r="N45" s="7"/>
      <c r="O45" s="444"/>
      <c r="P45" s="444"/>
      <c r="Q45" s="7"/>
    </row>
    <row r="46" spans="1:17" ht="15" x14ac:dyDescent="0.2">
      <c r="A46" s="444"/>
      <c r="B46" s="444"/>
      <c r="C46" s="444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7"/>
    </row>
    <row r="47" spans="1:17" ht="15" x14ac:dyDescent="0.2">
      <c r="A47" s="444"/>
      <c r="B47" s="444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7"/>
    </row>
    <row r="48" spans="1:17" ht="15" x14ac:dyDescent="0.2">
      <c r="A48" s="444"/>
      <c r="B48" s="444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4"/>
      <c r="P48" s="444"/>
      <c r="Q48" s="7"/>
    </row>
    <row r="49" spans="1:17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</sheetData>
  <mergeCells count="30">
    <mergeCell ref="K14:L14"/>
    <mergeCell ref="K11:N11"/>
    <mergeCell ref="A11:C11"/>
    <mergeCell ref="B12:C12"/>
    <mergeCell ref="B13:C13"/>
    <mergeCell ref="B14:C14"/>
    <mergeCell ref="A4:C4"/>
    <mergeCell ref="A6:C6"/>
    <mergeCell ref="A7:C7"/>
    <mergeCell ref="A8:C8"/>
    <mergeCell ref="J6:L6"/>
    <mergeCell ref="H4:I4"/>
    <mergeCell ref="H5:I5"/>
    <mergeCell ref="H6:I6"/>
    <mergeCell ref="H7:I7"/>
    <mergeCell ref="D27:D30"/>
    <mergeCell ref="E27:E30"/>
    <mergeCell ref="A37:A38"/>
    <mergeCell ref="A39:A40"/>
    <mergeCell ref="H8:I8"/>
    <mergeCell ref="F27:F30"/>
    <mergeCell ref="G27:G30"/>
    <mergeCell ref="H27:H30"/>
    <mergeCell ref="A25:A26"/>
    <mergeCell ref="A27:A30"/>
    <mergeCell ref="B27:B30"/>
    <mergeCell ref="C27:C30"/>
    <mergeCell ref="B15:C15"/>
    <mergeCell ref="A24:B24"/>
    <mergeCell ref="A18:D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L247"/>
  <sheetViews>
    <sheetView topLeftCell="A242" zoomScale="85" zoomScaleNormal="85" workbookViewId="0">
      <selection activeCell="G134" sqref="G134"/>
    </sheetView>
  </sheetViews>
  <sheetFormatPr baseColWidth="10" defaultColWidth="11.42578125" defaultRowHeight="12.75" x14ac:dyDescent="0.2"/>
  <cols>
    <col min="1" max="1" width="41" style="7" customWidth="1"/>
    <col min="2" max="2" width="22.28515625" style="7" customWidth="1"/>
    <col min="3" max="3" width="23.28515625" style="7" customWidth="1"/>
    <col min="4" max="4" width="20.42578125" style="7" customWidth="1"/>
    <col min="5" max="5" width="20" style="7" customWidth="1"/>
    <col min="6" max="6" width="21.140625" style="7" customWidth="1"/>
    <col min="7" max="7" width="17.42578125" style="7" customWidth="1"/>
    <col min="8" max="8" width="20.140625" style="7" customWidth="1"/>
    <col min="9" max="9" width="21.85546875" style="7" customWidth="1"/>
    <col min="10" max="10" width="21.28515625" style="7" customWidth="1"/>
    <col min="11" max="11" width="20.85546875" style="7" customWidth="1"/>
    <col min="12" max="12" width="20.5703125" style="7" customWidth="1"/>
    <col min="13" max="16384" width="11.42578125" style="7"/>
  </cols>
  <sheetData>
    <row r="3" spans="1:7" ht="13.5" thickBot="1" x14ac:dyDescent="0.25">
      <c r="A3" s="1" t="s">
        <v>0</v>
      </c>
      <c r="B3"/>
      <c r="C3"/>
      <c r="D3"/>
      <c r="E3" s="492">
        <f>InfoInicial!E1</f>
        <v>8</v>
      </c>
    </row>
    <row r="4" spans="1:7" ht="15.75" x14ac:dyDescent="0.25">
      <c r="A4" s="1464" t="s">
        <v>86</v>
      </c>
      <c r="B4" s="1465"/>
      <c r="C4" s="1465"/>
      <c r="D4" s="1465"/>
      <c r="E4" s="1465"/>
      <c r="F4" s="1466"/>
    </row>
    <row r="5" spans="1:7" x14ac:dyDescent="0.2">
      <c r="A5" s="1474" t="s">
        <v>87</v>
      </c>
      <c r="B5" s="1475"/>
      <c r="C5" s="1475"/>
      <c r="D5" s="1475"/>
      <c r="E5" s="1475"/>
      <c r="F5" s="1476"/>
    </row>
    <row r="6" spans="1:7" x14ac:dyDescent="0.2">
      <c r="A6" s="497" t="s">
        <v>88</v>
      </c>
      <c r="B6" s="490" t="s">
        <v>48</v>
      </c>
      <c r="C6" s="490" t="s">
        <v>89</v>
      </c>
      <c r="D6" s="490" t="s">
        <v>90</v>
      </c>
      <c r="E6" s="490" t="s">
        <v>91</v>
      </c>
      <c r="F6" s="496" t="s">
        <v>92</v>
      </c>
    </row>
    <row r="7" spans="1:7" x14ac:dyDescent="0.2">
      <c r="A7" s="354" t="s">
        <v>93</v>
      </c>
      <c r="B7" s="109">
        <f>PRODUCCION!T73</f>
        <v>6349480.3200000003</v>
      </c>
      <c r="C7" s="109">
        <f>PRODUCCION!$T$61</f>
        <v>7115152.3200000003</v>
      </c>
      <c r="D7" s="109">
        <f>PRODUCCION!$T$61</f>
        <v>7115152.3200000003</v>
      </c>
      <c r="E7" s="109">
        <f>PRODUCCION!$T$61</f>
        <v>7115152.3200000003</v>
      </c>
      <c r="F7" s="112">
        <f>PRODUCCION!$T$61</f>
        <v>7115152.3200000003</v>
      </c>
      <c r="G7" s="7" t="s">
        <v>743</v>
      </c>
    </row>
    <row r="8" spans="1:7" x14ac:dyDescent="0.2">
      <c r="A8" s="499" t="s">
        <v>94</v>
      </c>
      <c r="B8" s="109">
        <f>PRODUCCION!F21</f>
        <v>2112838</v>
      </c>
      <c r="C8" s="109">
        <f>PRODUCCION!$B$21</f>
        <v>2224040</v>
      </c>
      <c r="D8" s="109">
        <f>PRODUCCION!$B$21</f>
        <v>2224040</v>
      </c>
      <c r="E8" s="109">
        <f>PRODUCCION!$B$21</f>
        <v>2224040</v>
      </c>
      <c r="F8" s="112">
        <f>PRODUCCION!$B$21</f>
        <v>2224040</v>
      </c>
      <c r="G8" s="7" t="s">
        <v>743</v>
      </c>
    </row>
    <row r="9" spans="1:7" x14ac:dyDescent="0.2">
      <c r="A9" s="500" t="s">
        <v>95</v>
      </c>
      <c r="B9" s="110"/>
      <c r="C9" s="110"/>
      <c r="D9" s="110"/>
      <c r="E9" s="110"/>
      <c r="F9" s="113"/>
    </row>
    <row r="10" spans="1:7" x14ac:dyDescent="0.2">
      <c r="A10" s="499" t="s">
        <v>107</v>
      </c>
      <c r="B10" s="109">
        <f>PRODUCCION!Q11</f>
        <v>718784.20964916667</v>
      </c>
      <c r="C10" s="109">
        <f>PRODUCCION!Q10</f>
        <v>718784.20964916667</v>
      </c>
      <c r="D10" s="109">
        <f>PRODUCCION!Q10</f>
        <v>718784.20964916667</v>
      </c>
      <c r="E10" s="109">
        <f>PRODUCCION!Q9</f>
        <v>718117.54298250005</v>
      </c>
      <c r="F10" s="112">
        <f>PRODUCCION!Q9</f>
        <v>718117.54298250005</v>
      </c>
      <c r="G10" s="7" t="s">
        <v>744</v>
      </c>
    </row>
    <row r="11" spans="1:7" x14ac:dyDescent="0.2">
      <c r="A11" s="499" t="s">
        <v>96</v>
      </c>
      <c r="B11" s="109">
        <f>PRODUCCION!C77</f>
        <v>1599763.8599999999</v>
      </c>
      <c r="C11" s="109">
        <f>PRODUCCION!C72</f>
        <v>1777515.4</v>
      </c>
      <c r="D11" s="109">
        <f>PRODUCCION!C72</f>
        <v>1777515.4</v>
      </c>
      <c r="E11" s="109">
        <f>PRODUCCION!C72</f>
        <v>1777515.4</v>
      </c>
      <c r="F11" s="112">
        <f>PRODUCCION!C72</f>
        <v>1777515.4</v>
      </c>
      <c r="G11" s="7" t="s">
        <v>744</v>
      </c>
    </row>
    <row r="12" spans="1:7" x14ac:dyDescent="0.2">
      <c r="A12" s="499" t="s">
        <v>97</v>
      </c>
      <c r="B12" s="109">
        <f>PRODUCCION!K110</f>
        <v>260902.23571608751</v>
      </c>
      <c r="C12" s="109">
        <f>PRODUCCION!G110</f>
        <v>289891.37301787501</v>
      </c>
      <c r="D12" s="109">
        <f>PRODUCCION!G110</f>
        <v>289891.37301787501</v>
      </c>
      <c r="E12" s="109">
        <f>PRODUCCION!C110</f>
        <v>289940.62935787498</v>
      </c>
      <c r="F12" s="112">
        <f>PRODUCCION!C110</f>
        <v>289940.62935787498</v>
      </c>
      <c r="G12" s="7" t="s">
        <v>743</v>
      </c>
    </row>
    <row r="13" spans="1:7" x14ac:dyDescent="0.2">
      <c r="A13" s="499" t="s">
        <v>98</v>
      </c>
      <c r="B13" s="109">
        <f>PRODUCCION!Q37</f>
        <v>53091.97949759999</v>
      </c>
      <c r="C13" s="109">
        <f>PRODUCCION!M41</f>
        <v>55886.294207999992</v>
      </c>
      <c r="D13" s="109">
        <f>PRODUCCION!M41</f>
        <v>55886.294207999992</v>
      </c>
      <c r="E13" s="109">
        <f>PRODUCCION!M41</f>
        <v>55886.294207999992</v>
      </c>
      <c r="F13" s="112">
        <f>PRODUCCION!M41</f>
        <v>55886.294207999992</v>
      </c>
      <c r="G13" s="7" t="s">
        <v>743</v>
      </c>
    </row>
    <row r="14" spans="1:7" x14ac:dyDescent="0.2">
      <c r="A14" s="499" t="s">
        <v>99</v>
      </c>
      <c r="B14" s="109">
        <f>PRODUCCION!Q86</f>
        <v>257804.19799999995</v>
      </c>
      <c r="C14" s="109">
        <f>PRODUCCION!M86</f>
        <v>271372.83999999997</v>
      </c>
      <c r="D14" s="109">
        <f>PRODUCCION!M86</f>
        <v>271372.83999999997</v>
      </c>
      <c r="E14" s="109">
        <f>PRODUCCION!M86</f>
        <v>271372.83999999997</v>
      </c>
      <c r="F14" s="112">
        <f>PRODUCCION!M86</f>
        <v>271372.83999999997</v>
      </c>
      <c r="G14" s="7" t="s">
        <v>743</v>
      </c>
    </row>
    <row r="15" spans="1:7" x14ac:dyDescent="0.2">
      <c r="A15" s="499" t="s">
        <v>100</v>
      </c>
      <c r="B15" s="109">
        <f>PRODUCCION!C101</f>
        <v>25680</v>
      </c>
      <c r="C15" s="109">
        <f>PRODUCCION!C96</f>
        <v>25680</v>
      </c>
      <c r="D15" s="109">
        <f>PRODUCCION!C96</f>
        <v>25680</v>
      </c>
      <c r="E15" s="109">
        <f>PRODUCCION!C96</f>
        <v>25680</v>
      </c>
      <c r="F15" s="112">
        <f>PRODUCCION!C96</f>
        <v>25680</v>
      </c>
      <c r="G15" s="7" t="s">
        <v>744</v>
      </c>
    </row>
    <row r="16" spans="1:7" x14ac:dyDescent="0.2">
      <c r="A16" s="499" t="s">
        <v>15</v>
      </c>
      <c r="B16" s="109">
        <f>SUM(B7:B15)*InfoInicial!$B$15</f>
        <v>1251617.928314914</v>
      </c>
      <c r="C16" s="109">
        <f>SUM(C7:C15)*InfoInicial!$B$15</f>
        <v>1372615.4680562546</v>
      </c>
      <c r="D16" s="109">
        <f>SUM(D7:D15)*InfoInicial!$B$15</f>
        <v>1372615.4680562546</v>
      </c>
      <c r="E16" s="109">
        <f>SUM(E7:E15)*InfoInicial!$B$15</f>
        <v>1372547.5529203212</v>
      </c>
      <c r="F16" s="112">
        <f>SUM(F7:F15)*InfoInicial!$B$15</f>
        <v>1372547.5529203212</v>
      </c>
    </row>
    <row r="17" spans="1:7" x14ac:dyDescent="0.2">
      <c r="A17" s="505" t="s">
        <v>101</v>
      </c>
      <c r="B17" s="111">
        <f>SUM(B7:B16)</f>
        <v>12629962.73117777</v>
      </c>
      <c r="C17" s="111">
        <f>SUM(C7:C16)</f>
        <v>13850937.904931296</v>
      </c>
      <c r="D17" s="111">
        <f>SUM(D7:D16)</f>
        <v>13850937.904931296</v>
      </c>
      <c r="E17" s="111">
        <f>SUM(E7:E16)</f>
        <v>13850252.579468695</v>
      </c>
      <c r="F17" s="114">
        <f>SUM(F7:F16)</f>
        <v>13850252.579468695</v>
      </c>
    </row>
    <row r="18" spans="1:7" x14ac:dyDescent="0.2">
      <c r="A18" s="506"/>
      <c r="B18" s="115"/>
      <c r="C18" s="115"/>
      <c r="D18" s="115"/>
      <c r="E18" s="115"/>
      <c r="F18" s="116"/>
    </row>
    <row r="19" spans="1:7" x14ac:dyDescent="0.2">
      <c r="A19" s="505" t="s">
        <v>102</v>
      </c>
      <c r="B19" s="493">
        <f>(B10+B11+B15)/SUM(B7:B15)</f>
        <v>0.20602540266307853</v>
      </c>
      <c r="C19" s="493">
        <f>(C10+C11+C15)/SUM(C7:C15)</f>
        <v>0.202108866989716</v>
      </c>
      <c r="D19" s="493">
        <f>(D10+D11+D15)/SUM(D7:D15)</f>
        <v>0.202108866989716</v>
      </c>
      <c r="E19" s="493">
        <f>(E10+E11+E15)/SUM(E7:E15)</f>
        <v>0.20206543892630824</v>
      </c>
      <c r="F19" s="507">
        <f>(F10+F11+F15)/SUM(F7:F15)</f>
        <v>0.20206543892630824</v>
      </c>
    </row>
    <row r="20" spans="1:7" x14ac:dyDescent="0.2">
      <c r="A20" s="505" t="s">
        <v>103</v>
      </c>
      <c r="B20" s="493">
        <f>(B7+B8+B12+B14+B13)/SUM(B7:B15)</f>
        <v>0.79397459733692155</v>
      </c>
      <c r="C20" s="493">
        <f>(C7+C8+C12+C14+C13)/SUM(C7:C15)</f>
        <v>0.79789113301028403</v>
      </c>
      <c r="D20" s="493">
        <f>(D7+D8+D12+D14+D13)/SUM(D7:D15)</f>
        <v>0.79789113301028403</v>
      </c>
      <c r="E20" s="493">
        <f>(E7+E8+E12+E14+E13)/SUM(E7:E15)</f>
        <v>0.79793456107369176</v>
      </c>
      <c r="F20" s="507">
        <f>(F7+F8+F12+F14+F13)/SUM(F7:F15)</f>
        <v>0.79793456107369176</v>
      </c>
    </row>
    <row r="21" spans="1:7" ht="13.5" thickBot="1" x14ac:dyDescent="0.25">
      <c r="A21" s="508"/>
      <c r="B21" s="509">
        <f>B20+B19</f>
        <v>1</v>
      </c>
      <c r="C21" s="509">
        <f>C20+C19</f>
        <v>1</v>
      </c>
      <c r="D21" s="509">
        <f>D20+D19</f>
        <v>1</v>
      </c>
      <c r="E21" s="509">
        <f>E20+E19</f>
        <v>1</v>
      </c>
      <c r="F21" s="510">
        <f>F20+F19</f>
        <v>1</v>
      </c>
    </row>
    <row r="22" spans="1:7" x14ac:dyDescent="0.2">
      <c r="A22" s="1467" t="s">
        <v>104</v>
      </c>
      <c r="B22" s="1468"/>
      <c r="C22" s="1468"/>
      <c r="D22" s="1468"/>
      <c r="E22" s="1468"/>
      <c r="F22" s="1468"/>
      <c r="G22" s="1469"/>
    </row>
    <row r="23" spans="1:7" x14ac:dyDescent="0.2">
      <c r="A23" s="495"/>
      <c r="B23" s="487" t="s">
        <v>105</v>
      </c>
      <c r="C23" s="487"/>
      <c r="D23" s="487"/>
      <c r="E23" s="487"/>
      <c r="F23" s="487"/>
      <c r="G23" s="496" t="s">
        <v>106</v>
      </c>
    </row>
    <row r="24" spans="1:7" x14ac:dyDescent="0.2">
      <c r="A24" s="497" t="s">
        <v>88</v>
      </c>
      <c r="B24" s="406" t="s">
        <v>48</v>
      </c>
      <c r="C24" s="406" t="s">
        <v>89</v>
      </c>
      <c r="D24" s="406" t="s">
        <v>90</v>
      </c>
      <c r="E24" s="406" t="s">
        <v>91</v>
      </c>
      <c r="F24" s="406" t="s">
        <v>92</v>
      </c>
      <c r="G24" s="498" t="s">
        <v>48</v>
      </c>
    </row>
    <row r="25" spans="1:7" x14ac:dyDescent="0.2">
      <c r="A25" s="354" t="s">
        <v>93</v>
      </c>
      <c r="B25" s="109">
        <f>PRODUCCION!$T$76</f>
        <v>32729.279999999999</v>
      </c>
      <c r="C25" s="109">
        <f>PRODUCCION!$T$76</f>
        <v>32729.279999999999</v>
      </c>
      <c r="D25" s="109">
        <f>PRODUCCION!$T$76</f>
        <v>32729.279999999999</v>
      </c>
      <c r="E25" s="109">
        <f>PRODUCCION!$T$76</f>
        <v>32729.279999999999</v>
      </c>
      <c r="F25" s="109">
        <f>PRODUCCION!$T$76</f>
        <v>32729.279999999999</v>
      </c>
      <c r="G25" s="112"/>
    </row>
    <row r="26" spans="1:7" x14ac:dyDescent="0.2">
      <c r="A26" s="499" t="s">
        <v>94</v>
      </c>
      <c r="B26" s="109">
        <f>PRODUCCION!$F$29</f>
        <v>4627.2470039946738</v>
      </c>
      <c r="C26" s="109">
        <f>B25*0.15</f>
        <v>4909.3919999999998</v>
      </c>
      <c r="D26" s="109">
        <f>PRODUCCION!$F$29</f>
        <v>4627.2470039946738</v>
      </c>
      <c r="E26" s="109">
        <f>PRODUCCION!$F$29</f>
        <v>4627.2470039946738</v>
      </c>
      <c r="F26" s="109">
        <f>PRODUCCION!$F$29</f>
        <v>4627.2470039946738</v>
      </c>
      <c r="G26" s="112">
        <f>PRODUCCION!F31</f>
        <v>185342.83632933881</v>
      </c>
    </row>
    <row r="27" spans="1:7" x14ac:dyDescent="0.2">
      <c r="A27" s="500" t="s">
        <v>95</v>
      </c>
      <c r="B27" s="494"/>
      <c r="C27" s="494"/>
      <c r="D27" s="494"/>
      <c r="E27" s="494"/>
      <c r="F27" s="494"/>
      <c r="G27" s="501"/>
    </row>
    <row r="28" spans="1:7" x14ac:dyDescent="0.2">
      <c r="A28" s="499" t="s">
        <v>107</v>
      </c>
      <c r="B28" s="109">
        <f>PRODUCCION!Q21</f>
        <v>1725.5514531532579</v>
      </c>
      <c r="C28" s="109">
        <f>PRODUCCION!Q20</f>
        <v>1495.4731392500973</v>
      </c>
      <c r="D28" s="109">
        <f>PRODUCCION!Q19</f>
        <v>1495.4731392500973</v>
      </c>
      <c r="E28" s="109">
        <f>PRODUCCION!Q18</f>
        <v>1494.0860997472123</v>
      </c>
      <c r="F28" s="109">
        <f>PRODUCCION!Q17</f>
        <v>1494.0860997472123</v>
      </c>
      <c r="G28" s="112">
        <f>PRODUCCION!T21</f>
        <v>477.2159005567155</v>
      </c>
    </row>
    <row r="29" spans="1:7" x14ac:dyDescent="0.2">
      <c r="A29" s="499" t="s">
        <v>96</v>
      </c>
      <c r="B29" s="109">
        <f>PRODUCCION!C79</f>
        <v>3849.7197150786901</v>
      </c>
      <c r="C29" s="109">
        <f>PRODUCCION!$C$74</f>
        <v>3698.2261151797607</v>
      </c>
      <c r="D29" s="109">
        <f>PRODUCCION!$C$74</f>
        <v>3698.2261151797607</v>
      </c>
      <c r="E29" s="109">
        <f>PRODUCCION!$C$74</f>
        <v>3698.2261151797607</v>
      </c>
      <c r="F29" s="109">
        <f>PRODUCCION!$C$74</f>
        <v>3698.2261151797607</v>
      </c>
      <c r="G29" s="112">
        <v>0</v>
      </c>
    </row>
    <row r="30" spans="1:7" x14ac:dyDescent="0.2">
      <c r="A30" s="499" t="s">
        <v>97</v>
      </c>
      <c r="B30" s="109">
        <f>PRODUCCION!K111</f>
        <v>603.13617888206352</v>
      </c>
      <c r="C30" s="109">
        <f>PRODUCCION!G111</f>
        <v>603.13617888206352</v>
      </c>
      <c r="D30" s="109">
        <f>PRODUCCION!G111</f>
        <v>603.13617888206352</v>
      </c>
      <c r="E30" s="109">
        <f>PRODUCCION!C111</f>
        <v>603.23865961608487</v>
      </c>
      <c r="F30" s="109">
        <f>PRODUCCION!C111</f>
        <v>603.23865961608487</v>
      </c>
      <c r="G30" s="112">
        <f>PRODUCCION!K114</f>
        <v>9663.8499488343368</v>
      </c>
    </row>
    <row r="31" spans="1:7" x14ac:dyDescent="0.2">
      <c r="A31" s="499" t="s">
        <v>108</v>
      </c>
      <c r="B31" s="109">
        <f>PRODUCCION!Q41</f>
        <v>127.76213120882997</v>
      </c>
      <c r="C31" s="109">
        <f>PRODUCCION!M46</f>
        <v>116.27474660452729</v>
      </c>
      <c r="D31" s="109">
        <f>PRODUCCION!M46</f>
        <v>116.27474660452729</v>
      </c>
      <c r="E31" s="109">
        <f>PRODUCCION!M46</f>
        <v>116.27474660452729</v>
      </c>
      <c r="F31" s="109">
        <f>PRODUCCION!M46</f>
        <v>116.27474660452729</v>
      </c>
      <c r="G31" s="112">
        <f>PRODUCCION!Q42</f>
        <v>127.76213120883082</v>
      </c>
    </row>
    <row r="32" spans="1:7" x14ac:dyDescent="0.2">
      <c r="A32" s="499" t="s">
        <v>109</v>
      </c>
      <c r="B32" s="109">
        <f>PRODUCCION!Q87</f>
        <v>564.60727363515309</v>
      </c>
      <c r="C32" s="109">
        <f>PRODUCCION!$M$88</f>
        <v>564.60727363515309</v>
      </c>
      <c r="D32" s="109">
        <f>PRODUCCION!$M$88</f>
        <v>564.60727363515309</v>
      </c>
      <c r="E32" s="109">
        <f>PRODUCCION!$M$88</f>
        <v>564.60727363515309</v>
      </c>
      <c r="F32" s="109">
        <f>PRODUCCION!$M$88</f>
        <v>564.60727363515309</v>
      </c>
      <c r="G32" s="112">
        <f>PRODUCCION!Q89</f>
        <v>22615.156143031491</v>
      </c>
    </row>
    <row r="33" spans="1:7" x14ac:dyDescent="0.2">
      <c r="A33" s="499" t="s">
        <v>110</v>
      </c>
      <c r="B33" s="109">
        <f>PRODUCCION!C103</f>
        <v>61.797121909742835</v>
      </c>
      <c r="C33" s="109">
        <f>PRODUCCION!$C$98</f>
        <v>53.428761651131822</v>
      </c>
      <c r="D33" s="109">
        <f>PRODUCCION!$C$98</f>
        <v>53.428761651131822</v>
      </c>
      <c r="E33" s="109">
        <f>PRODUCCION!$C$98</f>
        <v>53.428761651131822</v>
      </c>
      <c r="F33" s="109">
        <f>PRODUCCION!$C$98</f>
        <v>53.428761651131822</v>
      </c>
      <c r="G33" s="112">
        <v>0</v>
      </c>
    </row>
    <row r="34" spans="1:7" x14ac:dyDescent="0.2">
      <c r="A34" s="499" t="s">
        <v>111</v>
      </c>
      <c r="B34" s="109">
        <f>InfoInicial!$B$15*SUM(B25:B33)</f>
        <v>4871.8010965648655</v>
      </c>
      <c r="C34" s="109">
        <f>InfoInicial!$B$15*SUM(C25:C33)</f>
        <v>4858.6800036723007</v>
      </c>
      <c r="D34" s="109">
        <f>InfoInicial!$B$15*SUM(D25:D33)</f>
        <v>4827.6440541117145</v>
      </c>
      <c r="E34" s="109">
        <f>InfoInicial!$B$15*SUM(E25:E33)</f>
        <v>4827.5027526471395</v>
      </c>
      <c r="F34" s="109">
        <f>InfoInicial!$B$15*SUM(F25:F33)</f>
        <v>4827.5027526471395</v>
      </c>
      <c r="G34" s="112">
        <f>InfoInicial!$B$15*SUM(G25:G33)</f>
        <v>24004.950249826721</v>
      </c>
    </row>
    <row r="35" spans="1:7" ht="13.5" thickBot="1" x14ac:dyDescent="0.25">
      <c r="A35" s="502" t="s">
        <v>112</v>
      </c>
      <c r="B35" s="503">
        <f t="shared" ref="B35:G35" si="0">SUM(B25:B34)</f>
        <v>49160.901974427281</v>
      </c>
      <c r="C35" s="503">
        <f t="shared" si="0"/>
        <v>49028.498218875029</v>
      </c>
      <c r="D35" s="503">
        <f t="shared" si="0"/>
        <v>48715.317273309112</v>
      </c>
      <c r="E35" s="503">
        <f t="shared" si="0"/>
        <v>48713.891413075675</v>
      </c>
      <c r="F35" s="503">
        <f t="shared" si="0"/>
        <v>48713.891413075675</v>
      </c>
      <c r="G35" s="504">
        <f t="shared" si="0"/>
        <v>242231.7707027969</v>
      </c>
    </row>
    <row r="36" spans="1:7" ht="13.5" thickBot="1" x14ac:dyDescent="0.25">
      <c r="A36" s="10"/>
      <c r="B36" s="11"/>
      <c r="C36" s="11"/>
      <c r="D36" s="11"/>
      <c r="E36" s="11"/>
      <c r="F36" s="11"/>
      <c r="G36" s="11"/>
    </row>
    <row r="37" spans="1:7" x14ac:dyDescent="0.2">
      <c r="A37" s="515"/>
      <c r="B37" s="516" t="s">
        <v>113</v>
      </c>
      <c r="C37" s="516"/>
      <c r="D37" s="516"/>
      <c r="E37" s="516"/>
      <c r="F37" s="517"/>
    </row>
    <row r="38" spans="1:7" x14ac:dyDescent="0.2">
      <c r="A38" s="505"/>
      <c r="B38" s="406" t="s">
        <v>48</v>
      </c>
      <c r="C38" s="406" t="s">
        <v>89</v>
      </c>
      <c r="D38" s="406" t="s">
        <v>90</v>
      </c>
      <c r="E38" s="406" t="s">
        <v>91</v>
      </c>
      <c r="F38" s="496" t="s">
        <v>92</v>
      </c>
      <c r="G38" s="11"/>
    </row>
    <row r="39" spans="1:7" x14ac:dyDescent="0.2">
      <c r="A39" s="505" t="s">
        <v>101</v>
      </c>
      <c r="B39" s="511">
        <f>B17</f>
        <v>12629962.73117777</v>
      </c>
      <c r="C39" s="511">
        <f>C17</f>
        <v>13850937.904931296</v>
      </c>
      <c r="D39" s="511">
        <f>D17</f>
        <v>13850937.904931296</v>
      </c>
      <c r="E39" s="511">
        <f>E17</f>
        <v>13850252.579468695</v>
      </c>
      <c r="F39" s="518">
        <f>F17</f>
        <v>13850252.579468695</v>
      </c>
      <c r="G39" s="11"/>
    </row>
    <row r="40" spans="1:7" x14ac:dyDescent="0.2">
      <c r="A40" s="499" t="s">
        <v>114</v>
      </c>
      <c r="B40" s="512"/>
      <c r="C40" s="512"/>
      <c r="D40" s="512"/>
      <c r="E40" s="512"/>
      <c r="F40" s="519"/>
      <c r="G40" s="11"/>
    </row>
    <row r="41" spans="1:7" x14ac:dyDescent="0.2">
      <c r="A41" s="499" t="s">
        <v>115</v>
      </c>
      <c r="B41" s="511">
        <f>G35</f>
        <v>242231.7707027969</v>
      </c>
      <c r="C41" s="512"/>
      <c r="D41" s="512"/>
      <c r="E41" s="512"/>
      <c r="F41" s="519"/>
      <c r="G41" s="11"/>
    </row>
    <row r="42" spans="1:7" x14ac:dyDescent="0.2">
      <c r="A42" s="499" t="s">
        <v>116</v>
      </c>
      <c r="B42" s="511">
        <f>B35</f>
        <v>49160.901974427281</v>
      </c>
      <c r="C42" s="511">
        <f>C35-B35</f>
        <v>-132.40375555225182</v>
      </c>
      <c r="D42" s="511">
        <f>D35-C35</f>
        <v>-313.18094556591677</v>
      </c>
      <c r="E42" s="511">
        <f>E35-D35</f>
        <v>-1.425860233437561</v>
      </c>
      <c r="F42" s="518">
        <f>F35-E35</f>
        <v>0</v>
      </c>
      <c r="G42" s="11"/>
    </row>
    <row r="43" spans="1:7" x14ac:dyDescent="0.2">
      <c r="A43" s="505" t="s">
        <v>117</v>
      </c>
      <c r="B43" s="511">
        <f>B39-B41-B42</f>
        <v>12338570.058500547</v>
      </c>
      <c r="C43" s="511">
        <f>C39-C41-C42</f>
        <v>13851070.308686849</v>
      </c>
      <c r="D43" s="511">
        <f>D39-D41-D42</f>
        <v>13851251.085876862</v>
      </c>
      <c r="E43" s="511">
        <f>E39-E41-E42</f>
        <v>13850254.005328929</v>
      </c>
      <c r="F43" s="518">
        <f>F39-F41-F42</f>
        <v>13850252.579468695</v>
      </c>
      <c r="G43" s="11"/>
    </row>
    <row r="44" spans="1:7" x14ac:dyDescent="0.2">
      <c r="A44" s="505" t="s">
        <v>118</v>
      </c>
      <c r="B44" s="511">
        <f>B43/PRODUCCION!$F$22</f>
        <v>23.785195293495029</v>
      </c>
      <c r="C44" s="511">
        <f>C43/PRODUCCION!$B$22</f>
        <v>23.085117181144749</v>
      </c>
      <c r="D44" s="511">
        <f>D43/PRODUCCION!$B$22</f>
        <v>23.085418476461435</v>
      </c>
      <c r="E44" s="511">
        <f>E43/PRODUCCION!$B$22</f>
        <v>23.083756675548216</v>
      </c>
      <c r="F44" s="518">
        <f>F43/PRODUCCION!$B$22</f>
        <v>23.083754299114492</v>
      </c>
      <c r="G44" s="11"/>
    </row>
    <row r="45" spans="1:7" x14ac:dyDescent="0.2">
      <c r="A45" s="520"/>
      <c r="B45" s="513"/>
      <c r="C45" s="513"/>
      <c r="D45" s="513"/>
      <c r="E45" s="513"/>
      <c r="F45" s="521"/>
      <c r="G45" s="11"/>
    </row>
    <row r="46" spans="1:7" x14ac:dyDescent="0.2">
      <c r="A46" s="505" t="s">
        <v>102</v>
      </c>
      <c r="B46" s="514">
        <f>(B10+B11+B15)*1.11/B43</f>
        <v>0.21089098209706125</v>
      </c>
      <c r="C46" s="514">
        <f>(C10+C11+C15)*1.11/C43</f>
        <v>0.20210693501100074</v>
      </c>
      <c r="D46" s="514">
        <f>(D10+D11+D15)*1.11/D43</f>
        <v>0.20210429724755491</v>
      </c>
      <c r="E46" s="514">
        <f>(E10+E11+E15)*1.11/E43</f>
        <v>0.20206541812401296</v>
      </c>
      <c r="F46" s="522">
        <f>(F10+F11+F15)*1.11/F43</f>
        <v>0.20206543892630827</v>
      </c>
      <c r="G46" s="11"/>
    </row>
    <row r="47" spans="1:7" ht="13.5" thickBot="1" x14ac:dyDescent="0.25">
      <c r="A47" s="502" t="s">
        <v>103</v>
      </c>
      <c r="B47" s="523">
        <f>((B7+B8+B12+B14+B13)*1.11-B41-B42)/B43</f>
        <v>0.78910901790293886</v>
      </c>
      <c r="C47" s="523">
        <f>((C7+C8+C12+C14+C13)*1.11-C41-C42)/C43</f>
        <v>0.79789306498899937</v>
      </c>
      <c r="D47" s="523">
        <f>((D7+D8+D12+D14+D13)*1.11-D41-D42)/D43</f>
        <v>0.79789570275244515</v>
      </c>
      <c r="E47" s="523">
        <f>((E7+E8+E12+E14+E13)*1.11-E41-E42)/E43</f>
        <v>0.7979345818759872</v>
      </c>
      <c r="F47" s="524">
        <f>((F7+F8+F12+F14+F13)*1.11-F41-F42)/F43</f>
        <v>0.79793456107369187</v>
      </c>
      <c r="G47" s="11"/>
    </row>
    <row r="49" spans="1:7" ht="13.5" thickBot="1" x14ac:dyDescent="0.25"/>
    <row r="50" spans="1:7" x14ac:dyDescent="0.2">
      <c r="A50" s="530"/>
      <c r="B50" s="531" t="s">
        <v>119</v>
      </c>
      <c r="C50" s="531"/>
      <c r="D50" s="531"/>
      <c r="E50" s="531"/>
      <c r="F50" s="532"/>
    </row>
    <row r="51" spans="1:7" x14ac:dyDescent="0.2">
      <c r="A51" s="497" t="s">
        <v>88</v>
      </c>
      <c r="B51" s="490" t="s">
        <v>48</v>
      </c>
      <c r="C51" s="490" t="s">
        <v>89</v>
      </c>
      <c r="D51" s="490" t="s">
        <v>90</v>
      </c>
      <c r="E51" s="490" t="s">
        <v>91</v>
      </c>
      <c r="F51" s="496" t="s">
        <v>92</v>
      </c>
    </row>
    <row r="52" spans="1:7" ht="15" x14ac:dyDescent="0.2">
      <c r="A52" s="354" t="s">
        <v>120</v>
      </c>
      <c r="B52" s="525">
        <f>ADM!G15</f>
        <v>710694</v>
      </c>
      <c r="C52" s="525">
        <f>ADM!$C$15</f>
        <v>789660</v>
      </c>
      <c r="D52" s="525">
        <f>ADM!$C$15</f>
        <v>789660</v>
      </c>
      <c r="E52" s="525">
        <f>ADM!$C$15</f>
        <v>789660</v>
      </c>
      <c r="F52" s="533">
        <f>ADM!$C$15</f>
        <v>789660</v>
      </c>
    </row>
    <row r="53" spans="1:7" ht="15" x14ac:dyDescent="0.2">
      <c r="A53" s="499" t="s">
        <v>121</v>
      </c>
      <c r="B53" s="525">
        <f>ADM!M10</f>
        <v>39895.419054583333</v>
      </c>
      <c r="C53" s="525">
        <f>ADM!M9</f>
        <v>39895.419054583333</v>
      </c>
      <c r="D53" s="525">
        <f>ADM!M9</f>
        <v>39895.419054583333</v>
      </c>
      <c r="E53" s="525">
        <f>ADM!M8</f>
        <v>39895.419054583333</v>
      </c>
      <c r="F53" s="533">
        <f>ADM!M8</f>
        <v>39895.419054583333</v>
      </c>
    </row>
    <row r="54" spans="1:7" ht="15" x14ac:dyDescent="0.2">
      <c r="A54" s="499" t="s">
        <v>97</v>
      </c>
      <c r="B54" s="525">
        <f>ADM!T19</f>
        <v>150693.82190957811</v>
      </c>
      <c r="C54" s="525">
        <f>ADM!P19</f>
        <v>167437.57989953121</v>
      </c>
      <c r="D54" s="525">
        <f>ADM!P19</f>
        <v>167437.57989953121</v>
      </c>
      <c r="E54" s="525">
        <f>ADM!L19</f>
        <v>167437.57989953121</v>
      </c>
      <c r="F54" s="534">
        <f>ADM!L19</f>
        <v>167437.57989953121</v>
      </c>
    </row>
    <row r="55" spans="1:7" ht="15" x14ac:dyDescent="0.2">
      <c r="A55" s="499" t="s">
        <v>122</v>
      </c>
      <c r="B55" s="525">
        <f>ADM!C31</f>
        <v>1005.9532957439999</v>
      </c>
      <c r="C55" s="525">
        <f>ADM!C28</f>
        <v>1117.7258841599999</v>
      </c>
      <c r="D55" s="525">
        <f>ADM!C28</f>
        <v>1117.7258841599999</v>
      </c>
      <c r="E55" s="525">
        <f>ADM!C28</f>
        <v>1117.7258841599999</v>
      </c>
      <c r="F55" s="534">
        <f>ADM!C28</f>
        <v>1117.7258841599999</v>
      </c>
    </row>
    <row r="56" spans="1:7" ht="15" x14ac:dyDescent="0.2">
      <c r="A56" s="499" t="s">
        <v>123</v>
      </c>
      <c r="B56" s="525">
        <f>ADM!B57</f>
        <v>95018.559199999989</v>
      </c>
      <c r="C56" s="525">
        <f>ADM!$C$57</f>
        <v>100019.53599999999</v>
      </c>
      <c r="D56" s="525">
        <f>ADM!$C$57</f>
        <v>100019.53599999999</v>
      </c>
      <c r="E56" s="525">
        <f>ADM!$C$57</f>
        <v>100019.53599999999</v>
      </c>
      <c r="F56" s="534">
        <f>ADM!$C$57</f>
        <v>100019.53599999999</v>
      </c>
    </row>
    <row r="57" spans="1:7" ht="15" x14ac:dyDescent="0.2">
      <c r="A57" s="499" t="s">
        <v>124</v>
      </c>
      <c r="B57" s="525">
        <f>ADM!$C$44</f>
        <v>75000</v>
      </c>
      <c r="C57" s="525">
        <f>ADM!$C$44</f>
        <v>75000</v>
      </c>
      <c r="D57" s="525">
        <f>ADM!$C$44</f>
        <v>75000</v>
      </c>
      <c r="E57" s="525">
        <f>ADM!$C$44</f>
        <v>75000</v>
      </c>
      <c r="F57" s="534">
        <f>ADM!$C$44</f>
        <v>75000</v>
      </c>
    </row>
    <row r="58" spans="1:7" ht="15" x14ac:dyDescent="0.2">
      <c r="A58" s="499" t="s">
        <v>100</v>
      </c>
      <c r="B58" s="525">
        <f>ADM!$M$57</f>
        <v>373194</v>
      </c>
      <c r="C58" s="525">
        <f>ADM!$M$57</f>
        <v>373194</v>
      </c>
      <c r="D58" s="525">
        <f>ADM!$M$57</f>
        <v>373194</v>
      </c>
      <c r="E58" s="525">
        <f>ADM!$M$57</f>
        <v>373194</v>
      </c>
      <c r="F58" s="534">
        <f>ADM!$M$57</f>
        <v>373194</v>
      </c>
    </row>
    <row r="59" spans="1:7" ht="15" x14ac:dyDescent="0.2">
      <c r="A59" s="499" t="s">
        <v>15</v>
      </c>
      <c r="B59" s="525">
        <f>SUM(B52:B58)*InfoInicial!$B$15</f>
        <v>159005.1928805896</v>
      </c>
      <c r="C59" s="525">
        <f>SUM(C52:C58)*InfoInicial!$B$15</f>
        <v>170095.66869221019</v>
      </c>
      <c r="D59" s="525">
        <f>SUM(D52:D58)*InfoInicial!$B$15</f>
        <v>170095.66869221019</v>
      </c>
      <c r="E59" s="525">
        <f>SUM(E52:E58)*InfoInicial!$B$15</f>
        <v>170095.66869221019</v>
      </c>
      <c r="F59" s="534">
        <f>SUM(F52:F58)*InfoInicial!$B$15</f>
        <v>170095.66869221019</v>
      </c>
    </row>
    <row r="60" spans="1:7" ht="15" x14ac:dyDescent="0.2">
      <c r="A60" s="535"/>
      <c r="B60" s="526"/>
      <c r="C60" s="526"/>
      <c r="D60" s="526"/>
      <c r="E60" s="526"/>
      <c r="F60" s="536"/>
    </row>
    <row r="61" spans="1:7" ht="15.75" x14ac:dyDescent="0.25">
      <c r="A61" s="505" t="s">
        <v>125</v>
      </c>
      <c r="B61" s="527">
        <f>SUM(B52:B59)</f>
        <v>1604506.946340495</v>
      </c>
      <c r="C61" s="527">
        <f>SUM(C52:C59)</f>
        <v>1716419.9295304848</v>
      </c>
      <c r="D61" s="527">
        <f>SUM(D52:D59)</f>
        <v>1716419.9295304848</v>
      </c>
      <c r="E61" s="527">
        <f>SUM(E52:E59)</f>
        <v>1716419.9295304848</v>
      </c>
      <c r="F61" s="537">
        <f>SUM(F52:F59)</f>
        <v>1716419.9295304848</v>
      </c>
    </row>
    <row r="62" spans="1:7" x14ac:dyDescent="0.2">
      <c r="A62" s="520"/>
      <c r="B62" s="528"/>
      <c r="C62" s="528"/>
      <c r="D62" s="528"/>
      <c r="E62" s="528"/>
      <c r="F62" s="538"/>
      <c r="G62" s="11"/>
    </row>
    <row r="63" spans="1:7" x14ac:dyDescent="0.2">
      <c r="A63" s="505" t="s">
        <v>102</v>
      </c>
      <c r="B63" s="529">
        <f>SUM(B52:B59)/B61</f>
        <v>1</v>
      </c>
      <c r="C63" s="529">
        <f>SUM(C52:C59)/C61</f>
        <v>1</v>
      </c>
      <c r="D63" s="529">
        <f>SUM(D52:D59)/D61</f>
        <v>1</v>
      </c>
      <c r="E63" s="529">
        <f>SUM(E52:E59)/E61</f>
        <v>1</v>
      </c>
      <c r="F63" s="539">
        <f>SUM(F52:F59)/F61</f>
        <v>1</v>
      </c>
      <c r="G63" s="11"/>
    </row>
    <row r="64" spans="1:7" ht="13.5" thickBot="1" x14ac:dyDescent="0.25">
      <c r="A64" s="502" t="s">
        <v>103</v>
      </c>
      <c r="B64" s="540">
        <v>0</v>
      </c>
      <c r="C64" s="540">
        <v>0</v>
      </c>
      <c r="D64" s="540">
        <v>0</v>
      </c>
      <c r="E64" s="540">
        <v>0</v>
      </c>
      <c r="F64" s="541">
        <v>0</v>
      </c>
      <c r="G64" s="11"/>
    </row>
    <row r="66" spans="1:7" ht="13.5" thickBot="1" x14ac:dyDescent="0.25"/>
    <row r="67" spans="1:7" x14ac:dyDescent="0.2">
      <c r="A67" s="530"/>
      <c r="B67" s="1470" t="s">
        <v>126</v>
      </c>
      <c r="C67" s="1471"/>
      <c r="D67" s="1471"/>
      <c r="E67" s="1471"/>
      <c r="F67" s="1472"/>
    </row>
    <row r="68" spans="1:7" x14ac:dyDescent="0.2">
      <c r="A68" s="497" t="s">
        <v>88</v>
      </c>
      <c r="B68" s="490" t="s">
        <v>48</v>
      </c>
      <c r="C68" s="490" t="s">
        <v>89</v>
      </c>
      <c r="D68" s="490" t="s">
        <v>90</v>
      </c>
      <c r="E68" s="490" t="s">
        <v>91</v>
      </c>
      <c r="F68" s="496" t="s">
        <v>92</v>
      </c>
    </row>
    <row r="69" spans="1:7" ht="15" x14ac:dyDescent="0.2">
      <c r="A69" s="354" t="s">
        <v>120</v>
      </c>
      <c r="B69" s="549">
        <f>COMER!G13</f>
        <v>990323.82000000007</v>
      </c>
      <c r="C69" s="549">
        <f>COMER!$C$13</f>
        <v>1100359.8</v>
      </c>
      <c r="D69" s="549">
        <f>COMER!$C$13</f>
        <v>1100359.8</v>
      </c>
      <c r="E69" s="549">
        <f>COMER!$C$13</f>
        <v>1100359.8</v>
      </c>
      <c r="F69" s="550">
        <f>COMER!$C$13</f>
        <v>1100359.8</v>
      </c>
    </row>
    <row r="70" spans="1:7" ht="15" x14ac:dyDescent="0.2">
      <c r="A70" s="499" t="s">
        <v>121</v>
      </c>
      <c r="B70" s="549">
        <f>COMER!S6</f>
        <v>39895.419054583333</v>
      </c>
      <c r="C70" s="549">
        <f>COMER!$O$6</f>
        <v>39895.419054583333</v>
      </c>
      <c r="D70" s="549">
        <f>COMER!$O$6</f>
        <v>39895.419054583333</v>
      </c>
      <c r="E70" s="549">
        <f>COMER!$K$6</f>
        <v>39895.419054583333</v>
      </c>
      <c r="F70" s="550">
        <f>COMER!$K$6</f>
        <v>39895.419054583333</v>
      </c>
    </row>
    <row r="71" spans="1:7" ht="15" x14ac:dyDescent="0.2">
      <c r="A71" s="499" t="s">
        <v>97</v>
      </c>
      <c r="B71" s="551">
        <f>COMER!G23</f>
        <v>36416.553077531251</v>
      </c>
      <c r="C71" s="549">
        <f>COMER!$C$23</f>
        <v>33154.561517531249</v>
      </c>
      <c r="D71" s="549">
        <f>COMER!$C$23</f>
        <v>33154.561517531249</v>
      </c>
      <c r="E71" s="549">
        <f>COMER!$C$23</f>
        <v>33154.561517531249</v>
      </c>
      <c r="F71" s="550">
        <f>COMER!$C$23</f>
        <v>33154.561517531249</v>
      </c>
    </row>
    <row r="72" spans="1:7" ht="15" x14ac:dyDescent="0.2">
      <c r="A72" s="499" t="s">
        <v>127</v>
      </c>
      <c r="B72" s="549">
        <f>COMER!O10</f>
        <v>1005.9532957439999</v>
      </c>
      <c r="C72" s="549">
        <f>COMER!$K$10</f>
        <v>1117.7258841599999</v>
      </c>
      <c r="D72" s="549">
        <f>COMER!$K$10</f>
        <v>1117.7258841599999</v>
      </c>
      <c r="E72" s="549">
        <f>COMER!$K$10</f>
        <v>1117.7258841599999</v>
      </c>
      <c r="F72" s="550">
        <f>COMER!$K$10</f>
        <v>1117.7258841599999</v>
      </c>
    </row>
    <row r="73" spans="1:7" ht="15" x14ac:dyDescent="0.2">
      <c r="A73" s="499" t="s">
        <v>123</v>
      </c>
      <c r="B73" s="549">
        <f>COMER!O14</f>
        <v>95018.559199999989</v>
      </c>
      <c r="C73" s="549">
        <f>COMER!$K$14</f>
        <v>100019.53599999999</v>
      </c>
      <c r="D73" s="549">
        <f>COMER!$K$14</f>
        <v>100019.53599999999</v>
      </c>
      <c r="E73" s="549">
        <f>COMER!$K$14</f>
        <v>100019.53599999999</v>
      </c>
      <c r="F73" s="550">
        <f>COMER!$K$14</f>
        <v>100019.53599999999</v>
      </c>
      <c r="G73" s="542"/>
    </row>
    <row r="74" spans="1:7" ht="15" x14ac:dyDescent="0.2">
      <c r="A74" s="499" t="s">
        <v>124</v>
      </c>
      <c r="B74" s="549">
        <f>COMER!K31</f>
        <v>72000</v>
      </c>
      <c r="C74" s="549">
        <f>COMER!$K$28</f>
        <v>72000</v>
      </c>
      <c r="D74" s="549">
        <f>COMER!$K$28</f>
        <v>72000</v>
      </c>
      <c r="E74" s="549">
        <f>COMER!$K$28</f>
        <v>72000</v>
      </c>
      <c r="F74" s="550">
        <f>COMER!$K$28</f>
        <v>72000</v>
      </c>
    </row>
    <row r="75" spans="1:7" ht="15" x14ac:dyDescent="0.2">
      <c r="A75" s="499" t="s">
        <v>100</v>
      </c>
      <c r="B75" s="549">
        <f>COMER!G54</f>
        <v>1086475.25</v>
      </c>
      <c r="C75" s="549">
        <f>COMER!$C$54</f>
        <v>1198194</v>
      </c>
      <c r="D75" s="549">
        <f>COMER!$C$54</f>
        <v>1198194</v>
      </c>
      <c r="E75" s="549">
        <f>COMER!$C$54</f>
        <v>1198194</v>
      </c>
      <c r="F75" s="550">
        <f>COMER!$C$54</f>
        <v>1198194</v>
      </c>
    </row>
    <row r="76" spans="1:7" ht="15" x14ac:dyDescent="0.2">
      <c r="A76" s="499" t="s">
        <v>15</v>
      </c>
      <c r="B76" s="549">
        <f>SUM(B69:B75)*InfoInicial!$B$15</f>
        <v>255324.91100906444</v>
      </c>
      <c r="C76" s="549">
        <f>SUM(C69:C75)*InfoInicial!$B$15</f>
        <v>279921.51467019023</v>
      </c>
      <c r="D76" s="549">
        <f>SUM(D69:D75)*InfoInicial!$B$15</f>
        <v>279921.51467019023</v>
      </c>
      <c r="E76" s="549">
        <f>SUM(E69:E75)*InfoInicial!$B$15</f>
        <v>279921.51467019023</v>
      </c>
      <c r="F76" s="550">
        <f>SUM(F69:F75)*InfoInicial!$B$15</f>
        <v>279921.51467019023</v>
      </c>
    </row>
    <row r="77" spans="1:7" ht="15" x14ac:dyDescent="0.2">
      <c r="A77" s="535"/>
      <c r="B77" s="552"/>
      <c r="C77" s="552"/>
      <c r="D77" s="552"/>
      <c r="E77" s="552"/>
      <c r="F77" s="553"/>
    </row>
    <row r="78" spans="1:7" ht="15.75" x14ac:dyDescent="0.25">
      <c r="A78" s="505" t="s">
        <v>128</v>
      </c>
      <c r="B78" s="554">
        <f>SUM(B69:B76)</f>
        <v>2576460.465636923</v>
      </c>
      <c r="C78" s="554">
        <f>SUM(C69:C77)</f>
        <v>2824662.5571264653</v>
      </c>
      <c r="D78" s="554">
        <f>SUM(D69:D76)</f>
        <v>2824662.5571264653</v>
      </c>
      <c r="E78" s="554">
        <f>SUM(E69:E76)</f>
        <v>2824662.5571264653</v>
      </c>
      <c r="F78" s="555">
        <f>SUM(F69:F76)</f>
        <v>2824662.5571264653</v>
      </c>
    </row>
    <row r="79" spans="1:7" ht="15" x14ac:dyDescent="0.2">
      <c r="A79" s="520"/>
      <c r="B79" s="552"/>
      <c r="C79" s="552"/>
      <c r="D79" s="552"/>
      <c r="E79" s="552"/>
      <c r="F79" s="556"/>
    </row>
    <row r="80" spans="1:7" x14ac:dyDescent="0.2">
      <c r="A80" s="505" t="s">
        <v>102</v>
      </c>
      <c r="B80" s="544">
        <f>SUM(B69:B74)/B78</f>
        <v>0.47920793704965314</v>
      </c>
      <c r="C80" s="544">
        <f>SUM(C69+C70+C72+C73+C74)/C78</f>
        <v>0.46497323286462233</v>
      </c>
      <c r="D80" s="544">
        <f>SUM(D69+D70+D72+D73+D74)/D78</f>
        <v>0.46497323286462233</v>
      </c>
      <c r="E80" s="544">
        <f>SUM(E69+E70+E72+E73+E74)/E78</f>
        <v>0.46497323286462233</v>
      </c>
      <c r="F80" s="546">
        <f>SUM(F69+F70+F72+F73+F74)/F78</f>
        <v>0.46497323286462233</v>
      </c>
    </row>
    <row r="81" spans="1:6" ht="13.5" thickBot="1" x14ac:dyDescent="0.25">
      <c r="A81" s="502" t="s">
        <v>103</v>
      </c>
      <c r="B81" s="547">
        <f>SUM(B75+B76)/B78</f>
        <v>0.52079206295034686</v>
      </c>
      <c r="C81" s="547">
        <f>SUM(C75+C71+C76)/C78</f>
        <v>0.53502676713537756</v>
      </c>
      <c r="D81" s="547">
        <f>SUM(D75+D71+D76)/D78</f>
        <v>0.53502676713537756</v>
      </c>
      <c r="E81" s="547">
        <f>SUM(E75+E71+E76)/E78</f>
        <v>0.53502676713537756</v>
      </c>
      <c r="F81" s="548">
        <f>SUM(F75+F71+F76)/F78</f>
        <v>0.53502676713537756</v>
      </c>
    </row>
    <row r="83" spans="1:6" ht="13.5" thickBot="1" x14ac:dyDescent="0.25"/>
    <row r="84" spans="1:6" ht="15.75" x14ac:dyDescent="0.25">
      <c r="A84" s="561" t="s">
        <v>129</v>
      </c>
      <c r="B84" s="562"/>
      <c r="C84" s="562"/>
      <c r="D84" s="562"/>
      <c r="E84" s="562"/>
      <c r="F84" s="563"/>
    </row>
    <row r="85" spans="1:6" x14ac:dyDescent="0.2">
      <c r="A85" s="535"/>
      <c r="B85" s="490" t="s">
        <v>48</v>
      </c>
      <c r="C85" s="490" t="s">
        <v>89</v>
      </c>
      <c r="D85" s="490" t="s">
        <v>90</v>
      </c>
      <c r="E85" s="490" t="s">
        <v>91</v>
      </c>
      <c r="F85" s="496" t="s">
        <v>92</v>
      </c>
    </row>
    <row r="86" spans="1:6" ht="15" x14ac:dyDescent="0.2">
      <c r="A86" s="499" t="s">
        <v>130</v>
      </c>
      <c r="B86" s="557">
        <f>InfoInicial!G47</f>
        <v>518750</v>
      </c>
      <c r="C86" s="557">
        <f>InfoInicial!$G$46</f>
        <v>600000</v>
      </c>
      <c r="D86" s="557">
        <f>InfoInicial!$G$46</f>
        <v>600000</v>
      </c>
      <c r="E86" s="557">
        <f>InfoInicial!$G$46</f>
        <v>600000</v>
      </c>
      <c r="F86" s="564">
        <f>InfoInicial!$G$46</f>
        <v>600000</v>
      </c>
    </row>
    <row r="87" spans="1:6" ht="15" x14ac:dyDescent="0.2">
      <c r="A87" s="499" t="s">
        <v>131</v>
      </c>
      <c r="B87" s="549">
        <f>InfoInicial!H47</f>
        <v>50</v>
      </c>
      <c r="C87" s="549">
        <f>InfoInicial!$H$46</f>
        <v>50</v>
      </c>
      <c r="D87" s="549">
        <f>InfoInicial!$H$46</f>
        <v>50</v>
      </c>
      <c r="E87" s="549">
        <f>InfoInicial!$H$46</f>
        <v>50</v>
      </c>
      <c r="F87" s="550">
        <f>InfoInicial!$H$46</f>
        <v>50</v>
      </c>
    </row>
    <row r="88" spans="1:6" ht="15" x14ac:dyDescent="0.2">
      <c r="A88" s="505" t="s">
        <v>132</v>
      </c>
      <c r="B88" s="549">
        <f>B86*B87</f>
        <v>25937500</v>
      </c>
      <c r="C88" s="549">
        <f>C86*C87</f>
        <v>30000000</v>
      </c>
      <c r="D88" s="549">
        <f>D86*D87</f>
        <v>30000000</v>
      </c>
      <c r="E88" s="549">
        <f>E86*E87</f>
        <v>30000000</v>
      </c>
      <c r="F88" s="550">
        <f>F86*F87</f>
        <v>30000000</v>
      </c>
    </row>
    <row r="89" spans="1:6" ht="15" x14ac:dyDescent="0.2">
      <c r="A89" s="535"/>
      <c r="B89" s="552"/>
      <c r="C89" s="552"/>
      <c r="D89" s="552"/>
      <c r="E89" s="552"/>
      <c r="F89" s="556"/>
    </row>
    <row r="90" spans="1:6" ht="15" x14ac:dyDescent="0.2">
      <c r="A90" s="499" t="s">
        <v>133</v>
      </c>
      <c r="B90" s="549">
        <f>PRODUCCION!T73</f>
        <v>6349480.3200000003</v>
      </c>
      <c r="C90" s="549">
        <f>PRODUCCION!$T$61</f>
        <v>7115152.3200000003</v>
      </c>
      <c r="D90" s="549">
        <f>PRODUCCION!$T$61</f>
        <v>7115152.3200000003</v>
      </c>
      <c r="E90" s="549">
        <f>PRODUCCION!$T$61</f>
        <v>7115152.3200000003</v>
      </c>
      <c r="F90" s="550">
        <f>PRODUCCION!$T$61</f>
        <v>7115152.3200000003</v>
      </c>
    </row>
    <row r="91" spans="1:6" ht="15" x14ac:dyDescent="0.2">
      <c r="A91" s="499" t="s">
        <v>94</v>
      </c>
      <c r="B91" s="549">
        <f>PRODUCCION!F21</f>
        <v>2112838</v>
      </c>
      <c r="C91" s="549">
        <f>PRODUCCION!$B$21</f>
        <v>2224040</v>
      </c>
      <c r="D91" s="549">
        <f>PRODUCCION!$B$21</f>
        <v>2224040</v>
      </c>
      <c r="E91" s="549">
        <f>PRODUCCION!$B$21</f>
        <v>2224040</v>
      </c>
      <c r="F91" s="550">
        <f>PRODUCCION!$B$21</f>
        <v>2224040</v>
      </c>
    </row>
    <row r="92" spans="1:6" ht="15" x14ac:dyDescent="0.2">
      <c r="A92" s="499" t="s">
        <v>134</v>
      </c>
      <c r="B92" s="549">
        <f>SUM(B10:B16)</f>
        <v>4167644.4111777679</v>
      </c>
      <c r="C92" s="549">
        <f>SUM(C10:C16)</f>
        <v>4511745.5849312954</v>
      </c>
      <c r="D92" s="549">
        <f>SUM(D10:D16)</f>
        <v>4511745.5849312954</v>
      </c>
      <c r="E92" s="549">
        <f>SUM(E10:E16)</f>
        <v>4511060.2594686961</v>
      </c>
      <c r="F92" s="550">
        <f>SUM(F10:F16)</f>
        <v>4511060.2594686961</v>
      </c>
    </row>
    <row r="93" spans="1:6" ht="15" x14ac:dyDescent="0.2">
      <c r="A93" s="535"/>
      <c r="B93" s="543"/>
      <c r="C93" s="543"/>
      <c r="D93" s="543"/>
      <c r="E93" s="543"/>
      <c r="F93" s="545"/>
    </row>
    <row r="94" spans="1:6" ht="15.75" x14ac:dyDescent="0.25">
      <c r="A94" s="499" t="s">
        <v>135</v>
      </c>
      <c r="B94" s="554">
        <f>SUM(B90:B92)</f>
        <v>12629962.731177768</v>
      </c>
      <c r="C94" s="554">
        <f>SUM(C90:C92)</f>
        <v>13850937.904931296</v>
      </c>
      <c r="D94" s="554">
        <f>SUM(D90:D92)</f>
        <v>13850937.904931296</v>
      </c>
      <c r="E94" s="554">
        <f>SUM(E90:E92)</f>
        <v>13850252.579468697</v>
      </c>
      <c r="F94" s="555">
        <f>SUM(F90:F92)</f>
        <v>13850252.579468697</v>
      </c>
    </row>
    <row r="95" spans="1:6" ht="15" x14ac:dyDescent="0.2">
      <c r="A95" s="535"/>
      <c r="B95" s="543"/>
      <c r="C95" s="543"/>
      <c r="D95" s="543"/>
      <c r="E95" s="543"/>
      <c r="F95" s="545"/>
    </row>
    <row r="96" spans="1:6" ht="15" x14ac:dyDescent="0.2">
      <c r="A96" s="499" t="s">
        <v>114</v>
      </c>
      <c r="B96" s="543"/>
      <c r="C96" s="543"/>
      <c r="D96" s="543"/>
      <c r="E96" s="543"/>
      <c r="F96" s="545"/>
    </row>
    <row r="97" spans="1:10" ht="15" x14ac:dyDescent="0.2">
      <c r="A97" s="569" t="s">
        <v>106</v>
      </c>
      <c r="B97" s="549">
        <f t="shared" ref="B97:F98" si="1">B41</f>
        <v>242231.7707027969</v>
      </c>
      <c r="C97" s="549">
        <f t="shared" si="1"/>
        <v>0</v>
      </c>
      <c r="D97" s="549">
        <f t="shared" si="1"/>
        <v>0</v>
      </c>
      <c r="E97" s="549">
        <f t="shared" si="1"/>
        <v>0</v>
      </c>
      <c r="F97" s="550">
        <f t="shared" si="1"/>
        <v>0</v>
      </c>
    </row>
    <row r="98" spans="1:10" ht="15" x14ac:dyDescent="0.2">
      <c r="A98" s="569" t="s">
        <v>116</v>
      </c>
      <c r="B98" s="549">
        <f t="shared" si="1"/>
        <v>49160.901974427281</v>
      </c>
      <c r="C98" s="549">
        <f t="shared" si="1"/>
        <v>-132.40375555225182</v>
      </c>
      <c r="D98" s="549">
        <f t="shared" si="1"/>
        <v>-313.18094556591677</v>
      </c>
      <c r="E98" s="549">
        <f t="shared" si="1"/>
        <v>-1.425860233437561</v>
      </c>
      <c r="F98" s="550">
        <f t="shared" si="1"/>
        <v>0</v>
      </c>
    </row>
    <row r="99" spans="1:10" ht="15" x14ac:dyDescent="0.2">
      <c r="A99" s="535"/>
      <c r="B99" s="552"/>
      <c r="C99" s="552"/>
      <c r="D99" s="552"/>
      <c r="E99" s="552"/>
      <c r="F99" s="556"/>
    </row>
    <row r="100" spans="1:10" ht="15" x14ac:dyDescent="0.2">
      <c r="A100" s="505" t="s">
        <v>136</v>
      </c>
      <c r="B100" s="549">
        <f>B94-B97-B98</f>
        <v>12338570.058500545</v>
      </c>
      <c r="C100" s="549">
        <f>C94-C97-C98</f>
        <v>13851070.308686849</v>
      </c>
      <c r="D100" s="549">
        <f>D94-D97-D98</f>
        <v>13851251.085876862</v>
      </c>
      <c r="E100" s="549">
        <f>E94-E97-E98</f>
        <v>13850254.005328931</v>
      </c>
      <c r="F100" s="550">
        <f>F94-F97-F98</f>
        <v>13850252.579468697</v>
      </c>
      <c r="H100" s="466"/>
      <c r="I100" s="1477" t="s">
        <v>703</v>
      </c>
      <c r="J100" s="1477"/>
    </row>
    <row r="101" spans="1:10" ht="15" x14ac:dyDescent="0.2">
      <c r="A101" s="569" t="s">
        <v>137</v>
      </c>
      <c r="B101" s="549">
        <f>PRODUCCION!F22</f>
        <v>518750</v>
      </c>
      <c r="C101" s="549">
        <f>PRODUCCION!$B$22</f>
        <v>600000</v>
      </c>
      <c r="D101" s="549">
        <f>PRODUCCION!$B$22</f>
        <v>600000</v>
      </c>
      <c r="E101" s="549">
        <f>PRODUCCION!$B$22</f>
        <v>600000</v>
      </c>
      <c r="F101" s="550">
        <f>PRODUCCION!$B$22</f>
        <v>600000</v>
      </c>
      <c r="H101" s="457" t="s">
        <v>47</v>
      </c>
      <c r="I101" s="1478">
        <v>0</v>
      </c>
      <c r="J101" s="1478"/>
    </row>
    <row r="102" spans="1:10" ht="15" x14ac:dyDescent="0.2">
      <c r="A102" s="499" t="s">
        <v>138</v>
      </c>
      <c r="B102" s="549">
        <f>B100/B101</f>
        <v>23.785195293495025</v>
      </c>
      <c r="C102" s="549">
        <f>C100/C101</f>
        <v>23.085117181144749</v>
      </c>
      <c r="D102" s="549">
        <f>D100/D101</f>
        <v>23.085418476461435</v>
      </c>
      <c r="E102" s="549">
        <f>E100/E101</f>
        <v>23.083756675548219</v>
      </c>
      <c r="F102" s="550">
        <f>F100/F101</f>
        <v>23.083754299114496</v>
      </c>
      <c r="H102" s="457" t="s">
        <v>48</v>
      </c>
      <c r="I102" s="1449">
        <v>6250</v>
      </c>
      <c r="J102" s="1449"/>
    </row>
    <row r="103" spans="1:10" ht="15.75" x14ac:dyDescent="0.25">
      <c r="A103" s="535"/>
      <c r="B103" s="558"/>
      <c r="C103" s="558"/>
      <c r="D103" s="558"/>
      <c r="E103" s="558"/>
      <c r="F103" s="565"/>
      <c r="H103" s="457" t="s">
        <v>403</v>
      </c>
      <c r="I103" s="1449">
        <v>6250</v>
      </c>
      <c r="J103" s="1449"/>
    </row>
    <row r="104" spans="1:10" ht="15.75" x14ac:dyDescent="0.25">
      <c r="A104" s="535" t="s">
        <v>114</v>
      </c>
      <c r="B104" s="558"/>
      <c r="C104" s="558"/>
      <c r="D104" s="558"/>
      <c r="E104" s="558"/>
      <c r="F104" s="565"/>
    </row>
    <row r="105" spans="1:10" ht="15" x14ac:dyDescent="0.2">
      <c r="A105" s="499" t="s">
        <v>139</v>
      </c>
      <c r="B105" s="549">
        <f>B102*I102</f>
        <v>148657.47058434392</v>
      </c>
      <c r="C105" s="549">
        <f>C102*$I$103</f>
        <v>144281.98238215467</v>
      </c>
      <c r="D105" s="549">
        <f>D102*$I$103</f>
        <v>144283.86547788396</v>
      </c>
      <c r="E105" s="549">
        <f>E102*$I$103</f>
        <v>144273.47922217636</v>
      </c>
      <c r="F105" s="550">
        <f>F102*$I$103</f>
        <v>144273.4643694656</v>
      </c>
    </row>
    <row r="106" spans="1:10" ht="15" x14ac:dyDescent="0.2">
      <c r="A106" s="535"/>
      <c r="B106" s="552"/>
      <c r="C106" s="552"/>
      <c r="D106" s="552"/>
      <c r="E106" s="552"/>
      <c r="F106" s="556"/>
    </row>
    <row r="107" spans="1:10" ht="15" x14ac:dyDescent="0.2">
      <c r="A107" s="505" t="s">
        <v>140</v>
      </c>
      <c r="B107" s="549">
        <f>B100-B105</f>
        <v>12189912.587916201</v>
      </c>
      <c r="C107" s="549">
        <f>C100-C105</f>
        <v>13706788.326304695</v>
      </c>
      <c r="D107" s="549">
        <f>D100-D105</f>
        <v>13706967.220398977</v>
      </c>
      <c r="E107" s="549">
        <f>E100-E105</f>
        <v>13705980.526106754</v>
      </c>
      <c r="F107" s="550">
        <f>F100-F105</f>
        <v>13705979.115099233</v>
      </c>
    </row>
    <row r="108" spans="1:10" ht="15" x14ac:dyDescent="0.2">
      <c r="A108" s="535"/>
      <c r="B108" s="552"/>
      <c r="C108" s="552"/>
      <c r="D108" s="552"/>
      <c r="E108" s="552"/>
      <c r="F108" s="556"/>
    </row>
    <row r="109" spans="1:10" ht="15" x14ac:dyDescent="0.2">
      <c r="A109" s="505" t="s">
        <v>141</v>
      </c>
      <c r="B109" s="549">
        <f>B61</f>
        <v>1604506.946340495</v>
      </c>
      <c r="C109" s="549">
        <f>C61</f>
        <v>1716419.9295304848</v>
      </c>
      <c r="D109" s="549">
        <f>D61</f>
        <v>1716419.9295304848</v>
      </c>
      <c r="E109" s="549">
        <f>E61</f>
        <v>1716419.9295304848</v>
      </c>
      <c r="F109" s="550">
        <f>F61</f>
        <v>1716419.9295304848</v>
      </c>
    </row>
    <row r="110" spans="1:10" ht="15" x14ac:dyDescent="0.2">
      <c r="A110" s="505" t="s">
        <v>142</v>
      </c>
      <c r="B110" s="549">
        <f>B78</f>
        <v>2576460.465636923</v>
      </c>
      <c r="C110" s="549">
        <f>C78</f>
        <v>2824662.5571264653</v>
      </c>
      <c r="D110" s="549">
        <f>D78</f>
        <v>2824662.5571264653</v>
      </c>
      <c r="E110" s="549">
        <f>E78</f>
        <v>2824662.5571264653</v>
      </c>
      <c r="F110" s="550">
        <f>F78</f>
        <v>2824662.5571264653</v>
      </c>
    </row>
    <row r="111" spans="1:10" ht="15" x14ac:dyDescent="0.2">
      <c r="A111" s="535"/>
      <c r="B111" s="552"/>
      <c r="C111" s="552"/>
      <c r="D111" s="552"/>
      <c r="E111" s="552"/>
      <c r="F111" s="556"/>
    </row>
    <row r="112" spans="1:10" ht="15" x14ac:dyDescent="0.2">
      <c r="A112" s="505" t="s">
        <v>143</v>
      </c>
      <c r="B112" s="549">
        <f>B107+B109+B110</f>
        <v>16370879.999893621</v>
      </c>
      <c r="C112" s="549">
        <f>C107+C109+C110</f>
        <v>18247870.812961645</v>
      </c>
      <c r="D112" s="549">
        <f>D107+D109+D110</f>
        <v>18248049.707055926</v>
      </c>
      <c r="E112" s="549">
        <f>E107+E109+E110</f>
        <v>18247063.012763705</v>
      </c>
      <c r="F112" s="550">
        <f>F107+F109+F110</f>
        <v>18247061.601756182</v>
      </c>
    </row>
    <row r="113" spans="1:6" ht="15" x14ac:dyDescent="0.2">
      <c r="A113" s="535"/>
      <c r="B113" s="552"/>
      <c r="C113" s="552"/>
      <c r="D113" s="552"/>
      <c r="E113" s="552"/>
      <c r="F113" s="556"/>
    </row>
    <row r="114" spans="1:6" ht="15" x14ac:dyDescent="0.2">
      <c r="A114" s="505" t="s">
        <v>144</v>
      </c>
      <c r="B114" s="549">
        <f>B112/PRODUCCION!F22</f>
        <v>31.558322891361197</v>
      </c>
      <c r="C114" s="549">
        <f>C112/PRODUCCION!$B$22</f>
        <v>30.413118021602742</v>
      </c>
      <c r="D114" s="549">
        <f>D112/PRODUCCION!$B$22</f>
        <v>30.413416178426544</v>
      </c>
      <c r="E114" s="549">
        <f>E112/PRODUCCION!$B$22</f>
        <v>30.41177168793951</v>
      </c>
      <c r="F114" s="550">
        <f>F112/PRODUCCION!$B$22</f>
        <v>30.411769336260303</v>
      </c>
    </row>
    <row r="115" spans="1:6" ht="15" x14ac:dyDescent="0.2">
      <c r="A115" s="535"/>
      <c r="B115" s="552"/>
      <c r="C115" s="552"/>
      <c r="D115" s="552"/>
      <c r="E115" s="552"/>
      <c r="F115" s="556"/>
    </row>
    <row r="116" spans="1:6" ht="15" x14ac:dyDescent="0.2">
      <c r="A116" s="505" t="s">
        <v>145</v>
      </c>
      <c r="B116" s="549">
        <f>B88-B112</f>
        <v>9566620.0001063794</v>
      </c>
      <c r="C116" s="549">
        <f>C88-C112</f>
        <v>11752129.187038355</v>
      </c>
      <c r="D116" s="549">
        <f>D88-D112</f>
        <v>11751950.292944074</v>
      </c>
      <c r="E116" s="549">
        <f>E88-E112</f>
        <v>11752936.987236295</v>
      </c>
      <c r="F116" s="550">
        <f>F88-F112</f>
        <v>11752938.398243818</v>
      </c>
    </row>
    <row r="117" spans="1:6" ht="15" x14ac:dyDescent="0.2">
      <c r="A117" s="505" t="s">
        <v>3</v>
      </c>
      <c r="B117" s="549">
        <f>B116*InfoInicial!$B$5</f>
        <v>478331.00000531902</v>
      </c>
      <c r="C117" s="549">
        <f>C116*InfoInicial!$B$5</f>
        <v>587606.45935191773</v>
      </c>
      <c r="D117" s="549">
        <f>D116*InfoInicial!$B$5</f>
        <v>587597.51464720373</v>
      </c>
      <c r="E117" s="549">
        <f>E116*InfoInicial!$B$5</f>
        <v>587646.84936181479</v>
      </c>
      <c r="F117" s="550">
        <f>F116*InfoInicial!$B$5</f>
        <v>587646.91991219099</v>
      </c>
    </row>
    <row r="118" spans="1:6" ht="15" x14ac:dyDescent="0.2">
      <c r="A118" s="568" t="s">
        <v>146</v>
      </c>
      <c r="B118" s="549">
        <f>(B116-B117)*InfoInicial!$B$4</f>
        <v>3180901.1500353706</v>
      </c>
      <c r="C118" s="549">
        <f>(C116-C117)*InfoInicial!$B$4</f>
        <v>3907582.9546902524</v>
      </c>
      <c r="D118" s="549">
        <f>(D116-D117)*InfoInicial!$B$4</f>
        <v>3907523.472403904</v>
      </c>
      <c r="E118" s="549">
        <f>(E116-E117)*InfoInicial!$B$4</f>
        <v>3907851.548256068</v>
      </c>
      <c r="F118" s="550">
        <f>(F116-F117)*InfoInicial!$B$4</f>
        <v>3907852.0174160693</v>
      </c>
    </row>
    <row r="119" spans="1:6" ht="15" x14ac:dyDescent="0.2">
      <c r="A119" s="520"/>
      <c r="B119" s="552"/>
      <c r="C119" s="552"/>
      <c r="D119" s="552"/>
      <c r="E119" s="552"/>
      <c r="F119" s="556"/>
    </row>
    <row r="120" spans="1:6" ht="15" x14ac:dyDescent="0.2">
      <c r="A120" s="568" t="s">
        <v>147</v>
      </c>
      <c r="B120" s="549">
        <f>B116-B117-B118</f>
        <v>5907387.8500656895</v>
      </c>
      <c r="C120" s="549">
        <f>C116-C117-C118</f>
        <v>7256939.7729961844</v>
      </c>
      <c r="D120" s="549">
        <f>D116-D117-D118</f>
        <v>7256829.3058929648</v>
      </c>
      <c r="E120" s="549">
        <f>E116-E117-E118</f>
        <v>7257438.5896184128</v>
      </c>
      <c r="F120" s="550">
        <f>F116-F117-F118</f>
        <v>7257439.460915558</v>
      </c>
    </row>
    <row r="121" spans="1:6" ht="15" x14ac:dyDescent="0.2">
      <c r="A121" s="505" t="s">
        <v>148</v>
      </c>
      <c r="B121" s="559">
        <f>B120/B88</f>
        <v>0.22775471229168923</v>
      </c>
      <c r="C121" s="559">
        <f>C120/C88</f>
        <v>0.24189799243320614</v>
      </c>
      <c r="D121" s="559">
        <f>D120/D88</f>
        <v>0.24189431019643215</v>
      </c>
      <c r="E121" s="559">
        <f>E120/E88</f>
        <v>0.24191461965394709</v>
      </c>
      <c r="F121" s="566">
        <f>F120/F88</f>
        <v>0.24191464869718526</v>
      </c>
    </row>
    <row r="122" spans="1:6" ht="15" x14ac:dyDescent="0.2">
      <c r="A122" s="520"/>
      <c r="B122" s="560"/>
      <c r="C122" s="560"/>
      <c r="D122" s="560"/>
      <c r="E122" s="560"/>
      <c r="F122" s="567"/>
    </row>
    <row r="123" spans="1:6" ht="15" x14ac:dyDescent="0.2">
      <c r="A123" s="505" t="s">
        <v>149</v>
      </c>
      <c r="B123" s="559"/>
      <c r="C123" s="559"/>
      <c r="D123" s="559"/>
      <c r="E123" s="559"/>
      <c r="F123" s="566"/>
    </row>
    <row r="124" spans="1:6" ht="15" x14ac:dyDescent="0.2">
      <c r="A124" s="568" t="s">
        <v>150</v>
      </c>
      <c r="B124" s="570">
        <f>B120</f>
        <v>5907387.8500656895</v>
      </c>
      <c r="C124" s="570">
        <f>C120</f>
        <v>7256939.7729961844</v>
      </c>
      <c r="D124" s="570">
        <f>D120</f>
        <v>7256829.3058929648</v>
      </c>
      <c r="E124" s="570">
        <f>E120</f>
        <v>7257438.5896184128</v>
      </c>
      <c r="F124" s="571">
        <f>F120</f>
        <v>7257439.460915558</v>
      </c>
    </row>
    <row r="125" spans="1:6" ht="15" x14ac:dyDescent="0.2">
      <c r="A125" s="505" t="s">
        <v>151</v>
      </c>
      <c r="B125" s="570">
        <f>B10+B53+B70</f>
        <v>798575.04775833327</v>
      </c>
      <c r="C125" s="570">
        <f>C10+C53+C70</f>
        <v>798575.04775833327</v>
      </c>
      <c r="D125" s="570">
        <f>D10+D53+D70</f>
        <v>798575.04775833327</v>
      </c>
      <c r="E125" s="570">
        <f>E10+E53+E70</f>
        <v>797908.38109166664</v>
      </c>
      <c r="F125" s="571">
        <f>F10+F53+F70</f>
        <v>797908.38109166664</v>
      </c>
    </row>
    <row r="126" spans="1:6" ht="15.75" x14ac:dyDescent="0.25">
      <c r="A126" s="505" t="s">
        <v>152</v>
      </c>
      <c r="B126" s="572">
        <f>B124+B125</f>
        <v>6705962.8978240229</v>
      </c>
      <c r="C126" s="572">
        <f>C124+C125</f>
        <v>8055514.8207545178</v>
      </c>
      <c r="D126" s="572">
        <f>D124+D125</f>
        <v>8055404.3536512982</v>
      </c>
      <c r="E126" s="572">
        <f>E124+E125</f>
        <v>8055346.9707100792</v>
      </c>
      <c r="F126" s="573">
        <f>F124+F125</f>
        <v>8055347.8420072244</v>
      </c>
    </row>
    <row r="127" spans="1:6" ht="15" x14ac:dyDescent="0.2">
      <c r="A127" s="520"/>
      <c r="B127" s="574"/>
      <c r="C127" s="574"/>
      <c r="D127" s="574"/>
      <c r="E127" s="574"/>
      <c r="F127" s="553"/>
    </row>
    <row r="128" spans="1:6" ht="15" x14ac:dyDescent="0.2">
      <c r="A128" s="505" t="s">
        <v>153</v>
      </c>
      <c r="B128" s="570">
        <f>+B10+B11+B15+B16+PRODUCCION!Q43</f>
        <v>3597788.0197016806</v>
      </c>
      <c r="C128" s="570">
        <f>+C10+C11+C15+C16+C13-PRODUCCION!$M$38*PRODUCCION!$R$28</f>
        <v>3897455.0999134211</v>
      </c>
      <c r="D128" s="570">
        <f>+D10+D11+D15+D16+D13-PRODUCCION!$M$38*PRODUCCION!$R$28</f>
        <v>3897455.0999134211</v>
      </c>
      <c r="E128" s="570">
        <f>+E10+E11+E15+E16+E13-PRODUCCION!$M$38*PRODUCCION!$R$28</f>
        <v>3896720.5181108215</v>
      </c>
      <c r="F128" s="571">
        <f>+F10+F11+F15+F16+F13-PRODUCCION!$M$38*PRODUCCION!$R$28</f>
        <v>3896720.5181108215</v>
      </c>
    </row>
    <row r="129" spans="1:12" ht="15" x14ac:dyDescent="0.2">
      <c r="A129" s="568" t="s">
        <v>154</v>
      </c>
      <c r="B129" s="570">
        <f>+B7+B8+PRODUCCION!Q44</f>
        <v>8513468.2777600009</v>
      </c>
      <c r="C129" s="570">
        <f>+C7+C8+PRODUCCION!$M$38*PRODUCCION!$R$28</f>
        <v>9392218.5920000002</v>
      </c>
      <c r="D129" s="570">
        <f>+D7+D8+PRODUCCION!$M$38*PRODUCCION!$R$28</f>
        <v>9392218.5920000002</v>
      </c>
      <c r="E129" s="570">
        <f>+E7+E8+PRODUCCION!$M$38*PRODUCCION!$R$28</f>
        <v>9392218.5920000002</v>
      </c>
      <c r="F129" s="571">
        <f>+F7+F8+PRODUCCION!$M$38*PRODUCCION!$R$28</f>
        <v>9392218.5920000002</v>
      </c>
    </row>
    <row r="130" spans="1:12" ht="15" x14ac:dyDescent="0.2">
      <c r="A130" s="505" t="s">
        <v>155</v>
      </c>
      <c r="B130" s="570">
        <f>+ADM!G15+ADM!M10+ADM!C31+ADM!C44+ADM!M57+'E-Costos'!B59</f>
        <v>1358794.5652309167</v>
      </c>
      <c r="C130" s="570">
        <f>+ADM!$C$15+ADM!$M$9+ADM!$M$57+ADM!$C$44+ADM!$C$28+C59</f>
        <v>1448962.8136309534</v>
      </c>
      <c r="D130" s="570">
        <f>+ADM!$C$15+ADM!$M$9+ADM!$M$57+ADM!$C$44+ADM!$C$28+D59</f>
        <v>1448962.8136309534</v>
      </c>
      <c r="E130" s="570">
        <f>+ADM!$C$15+ADM!$M$9+ADM!$M$57+ADM!$C$44+ADM!$C$28+E59</f>
        <v>1448962.8136309534</v>
      </c>
      <c r="F130" s="571">
        <f>+ADM!$C$15+ADM!$M$9+ADM!$M$57+ADM!$C$44+ADM!$C$28+F59</f>
        <v>1448962.8136309534</v>
      </c>
    </row>
    <row r="131" spans="1:12" ht="15" x14ac:dyDescent="0.2">
      <c r="A131" s="568" t="s">
        <v>156</v>
      </c>
      <c r="B131" s="570">
        <f>+A127</f>
        <v>0</v>
      </c>
      <c r="C131" s="570">
        <f>+B127</f>
        <v>0</v>
      </c>
      <c r="D131" s="570">
        <f>+C127</f>
        <v>0</v>
      </c>
      <c r="E131" s="570">
        <f>+D127</f>
        <v>0</v>
      </c>
      <c r="F131" s="571">
        <f>+E127</f>
        <v>0</v>
      </c>
    </row>
    <row r="132" spans="1:12" ht="15" x14ac:dyDescent="0.2">
      <c r="A132" s="505" t="s">
        <v>157</v>
      </c>
      <c r="B132" s="570">
        <f>+COMER!G13+COMER!S6+COMER!O10+COMER!K31+COMER!G52+B76</f>
        <v>1731744.1033593919</v>
      </c>
      <c r="C132" s="570">
        <f>+COMER!$C$13+COMER!$O$6+COMER!$K$10+COMER!$K$28-COMER!$K$27+COMER!$C$52+$C$76</f>
        <v>1866488.4596089337</v>
      </c>
      <c r="D132" s="570">
        <f>+COMER!$C$13+COMER!$O$6+COMER!$K$10+COMER!$K$28-COMER!$K$27+COMER!$C$52+$C$76</f>
        <v>1866488.4596089337</v>
      </c>
      <c r="E132" s="570">
        <f>+COMER!$C$13+COMER!$O$6+COMER!$K$10+COMER!$K$28-COMER!$K$27+COMER!$C$52+$C$76</f>
        <v>1866488.4596089337</v>
      </c>
      <c r="F132" s="571">
        <f>+COMER!$C$13+COMER!$O$6+COMER!$K$10+COMER!$K$28-COMER!$K$27+COMER!$C$52+$C$76</f>
        <v>1866488.4596089337</v>
      </c>
    </row>
    <row r="133" spans="1:12" ht="15" x14ac:dyDescent="0.2">
      <c r="A133" s="568" t="s">
        <v>158</v>
      </c>
      <c r="B133" s="570">
        <f>+COMER!G53</f>
        <v>713281.25</v>
      </c>
      <c r="C133" s="570">
        <f>+COMER!$K$27+COMER!$C$53</f>
        <v>825000</v>
      </c>
      <c r="D133" s="570">
        <f>+COMER!$K$27+COMER!$C$53</f>
        <v>825000</v>
      </c>
      <c r="E133" s="570">
        <f>+COMER!$K$27+COMER!$C$53</f>
        <v>825000</v>
      </c>
      <c r="F133" s="571">
        <f>+COMER!$K$27+COMER!$C$53</f>
        <v>825000</v>
      </c>
    </row>
    <row r="134" spans="1:12" ht="15" x14ac:dyDescent="0.2">
      <c r="A134" s="505" t="s">
        <v>159</v>
      </c>
      <c r="B134" s="570">
        <f>+B88-(B129+B133+B131)</f>
        <v>16710750.472239999</v>
      </c>
      <c r="C134" s="570">
        <f>+C88-(C129+C133+C131)</f>
        <v>19782781.408</v>
      </c>
      <c r="D134" s="570">
        <f>+D88-(D129+D133+D131)</f>
        <v>19782781.408</v>
      </c>
      <c r="E134" s="570">
        <f>+E88-(E129+E133+E131)</f>
        <v>19782781.408</v>
      </c>
      <c r="F134" s="571">
        <f>+F88-(F129+F133+F131)</f>
        <v>19782781.408</v>
      </c>
    </row>
    <row r="135" spans="1:12" ht="15.75" thickBot="1" x14ac:dyDescent="0.25">
      <c r="A135" s="502" t="s">
        <v>160</v>
      </c>
      <c r="B135" s="575">
        <f>+(B128+B130+B132)/B134</f>
        <v>0.40024095263720672</v>
      </c>
      <c r="C135" s="575">
        <f>+(C128+C130+C132)/C134</f>
        <v>0.36460527083600419</v>
      </c>
      <c r="D135" s="575">
        <f>+(D128+D130+D132)/D134</f>
        <v>0.36460527083600419</v>
      </c>
      <c r="E135" s="575">
        <f>+(E128+E130+E132)/E134</f>
        <v>0.36456813845368391</v>
      </c>
      <c r="F135" s="576">
        <f>+(F128+F130+F132)/F134</f>
        <v>0.36456813845368391</v>
      </c>
    </row>
    <row r="136" spans="1:12" ht="15.75" x14ac:dyDescent="0.25">
      <c r="A136" s="12"/>
    </row>
    <row r="137" spans="1:12" ht="15.75" x14ac:dyDescent="0.25">
      <c r="A137" s="139" t="s">
        <v>705</v>
      </c>
      <c r="B137" s="140"/>
      <c r="C137" s="140"/>
      <c r="D137" s="140"/>
      <c r="E137" s="140"/>
      <c r="F137" s="140"/>
    </row>
    <row r="138" spans="1:12" ht="15.75" x14ac:dyDescent="0.2">
      <c r="A138" s="579"/>
      <c r="B138" s="580" t="s">
        <v>48</v>
      </c>
      <c r="C138" s="580" t="s">
        <v>89</v>
      </c>
      <c r="D138" s="580" t="s">
        <v>90</v>
      </c>
      <c r="E138" s="580" t="s">
        <v>91</v>
      </c>
      <c r="F138" s="580" t="s">
        <v>92</v>
      </c>
    </row>
    <row r="139" spans="1:12" ht="15" x14ac:dyDescent="0.2">
      <c r="A139" s="465" t="s">
        <v>706</v>
      </c>
      <c r="B139" s="577">
        <f>+B133+B131+B129</f>
        <v>9226749.5277600009</v>
      </c>
      <c r="C139" s="577">
        <f>+C133+C131+C129</f>
        <v>10217218.592</v>
      </c>
      <c r="D139" s="577">
        <f>+D133+D131+D129</f>
        <v>10217218.592</v>
      </c>
      <c r="E139" s="577">
        <f>+E133+E131+E129</f>
        <v>10217218.592</v>
      </c>
      <c r="F139" s="577">
        <f>+F133+F131+F129</f>
        <v>10217218.592</v>
      </c>
      <c r="H139" s="1473" t="s">
        <v>741</v>
      </c>
      <c r="I139" s="1473"/>
      <c r="J139" s="1473"/>
      <c r="K139" s="1473"/>
    </row>
    <row r="140" spans="1:12" ht="15" x14ac:dyDescent="0.2">
      <c r="A140" s="465" t="s">
        <v>707</v>
      </c>
      <c r="B140" s="577">
        <f>B128+B130+B132</f>
        <v>6688326.6882919893</v>
      </c>
      <c r="C140" s="577">
        <f>C128+C130+C132</f>
        <v>7212906.3731533084</v>
      </c>
      <c r="D140" s="577">
        <f>D128+D130+D132</f>
        <v>7212906.3731533084</v>
      </c>
      <c r="E140" s="577">
        <f>E128+E130+E132</f>
        <v>7212171.7913507083</v>
      </c>
      <c r="F140" s="577">
        <f>F128+F130+F132</f>
        <v>7212171.7913507083</v>
      </c>
      <c r="H140" s="578">
        <f>B144/100</f>
        <v>259375</v>
      </c>
      <c r="I140" s="578">
        <f>(E144-C144)/100</f>
        <v>92267.495277600014</v>
      </c>
      <c r="J140" s="578">
        <f>H144/100</f>
        <v>300000</v>
      </c>
      <c r="K140" s="578">
        <f>(K144-I144)/100</f>
        <v>102172.18592</v>
      </c>
    </row>
    <row r="142" spans="1:12" ht="16.5" thickBot="1" x14ac:dyDescent="0.3">
      <c r="A142" s="138"/>
      <c r="B142" s="141" t="s">
        <v>48</v>
      </c>
      <c r="C142" s="142"/>
      <c r="D142" s="138"/>
      <c r="E142" s="138"/>
      <c r="F142" s="138"/>
      <c r="G142" s="138"/>
      <c r="H142" s="143" t="s">
        <v>92</v>
      </c>
      <c r="I142" s="144"/>
      <c r="J142" s="138"/>
      <c r="K142" s="138"/>
      <c r="L142" s="138"/>
    </row>
    <row r="143" spans="1:12" ht="15.75" thickBot="1" x14ac:dyDescent="0.25">
      <c r="A143" s="138"/>
      <c r="B143" s="581" t="s">
        <v>708</v>
      </c>
      <c r="C143" s="582" t="s">
        <v>709</v>
      </c>
      <c r="D143" s="583" t="s">
        <v>710</v>
      </c>
      <c r="E143" s="583" t="s">
        <v>711</v>
      </c>
      <c r="F143" s="584" t="s">
        <v>712</v>
      </c>
      <c r="G143" s="138"/>
      <c r="H143" s="581" t="s">
        <v>708</v>
      </c>
      <c r="I143" s="582" t="s">
        <v>709</v>
      </c>
      <c r="J143" s="583" t="s">
        <v>710</v>
      </c>
      <c r="K143" s="583" t="s">
        <v>711</v>
      </c>
      <c r="L143" s="584" t="s">
        <v>712</v>
      </c>
    </row>
    <row r="144" spans="1:12" ht="15" x14ac:dyDescent="0.2">
      <c r="A144" s="145">
        <v>0</v>
      </c>
      <c r="B144" s="146">
        <f>$B$88</f>
        <v>25937500</v>
      </c>
      <c r="C144" s="147">
        <f>$B$140</f>
        <v>6688326.6882919893</v>
      </c>
      <c r="D144" s="147">
        <v>0</v>
      </c>
      <c r="E144" s="147">
        <f>$B$139+$B$140</f>
        <v>15915076.21605199</v>
      </c>
      <c r="F144" s="148">
        <f>C144</f>
        <v>6688326.6882919893</v>
      </c>
      <c r="G144" s="145"/>
      <c r="H144" s="146">
        <f>$C$88</f>
        <v>30000000</v>
      </c>
      <c r="I144" s="147">
        <f>$F$140</f>
        <v>7212171.7913507083</v>
      </c>
      <c r="J144" s="147">
        <v>0</v>
      </c>
      <c r="K144" s="147">
        <f>$F$139+$F$140</f>
        <v>17429390.383350708</v>
      </c>
      <c r="L144" s="148">
        <f>I144</f>
        <v>7212171.7913507083</v>
      </c>
    </row>
    <row r="145" spans="1:12" ht="15" x14ac:dyDescent="0.2">
      <c r="A145" s="145">
        <v>0.01</v>
      </c>
      <c r="B145" s="146">
        <f t="shared" ref="B145:B208" si="2">$B$88</f>
        <v>25937500</v>
      </c>
      <c r="C145" s="147">
        <f t="shared" ref="C145:C208" si="3">$B$140</f>
        <v>6688326.6882919893</v>
      </c>
      <c r="D145" s="149">
        <f>H140</f>
        <v>259375</v>
      </c>
      <c r="E145" s="147">
        <f>$B$139+$B$140</f>
        <v>15915076.21605199</v>
      </c>
      <c r="F145" s="150">
        <f>F144+$I$140</f>
        <v>6780594.1835695896</v>
      </c>
      <c r="G145" s="145"/>
      <c r="H145" s="151">
        <f t="shared" ref="H145:H208" si="4">$C$88</f>
        <v>30000000</v>
      </c>
      <c r="I145" s="147">
        <f t="shared" ref="I145:I208" si="5">$F$140</f>
        <v>7212171.7913507083</v>
      </c>
      <c r="J145" s="149">
        <f>J140</f>
        <v>300000</v>
      </c>
      <c r="K145" s="149">
        <f t="shared" ref="K145:K208" si="6">$F$139+$F$140</f>
        <v>17429390.383350708</v>
      </c>
      <c r="L145" s="150">
        <f>L144+$K$140</f>
        <v>7314343.9772707084</v>
      </c>
    </row>
    <row r="146" spans="1:12" ht="15" x14ac:dyDescent="0.2">
      <c r="A146" s="145">
        <v>0.02</v>
      </c>
      <c r="B146" s="146">
        <f t="shared" si="2"/>
        <v>25937500</v>
      </c>
      <c r="C146" s="147">
        <f t="shared" si="3"/>
        <v>6688326.6882919893</v>
      </c>
      <c r="D146" s="149">
        <f>D145+H$140</f>
        <v>518750</v>
      </c>
      <c r="E146" s="147">
        <f t="shared" ref="E146:E208" si="7">$B$139+$B$140</f>
        <v>15915076.21605199</v>
      </c>
      <c r="F146" s="150">
        <f t="shared" ref="F146:F209" si="8">F145+$I$140</f>
        <v>6872861.67884719</v>
      </c>
      <c r="G146" s="145"/>
      <c r="H146" s="151">
        <f t="shared" si="4"/>
        <v>30000000</v>
      </c>
      <c r="I146" s="147">
        <f t="shared" si="5"/>
        <v>7212171.7913507083</v>
      </c>
      <c r="J146" s="149">
        <f>J145+J$140</f>
        <v>600000</v>
      </c>
      <c r="K146" s="149">
        <f t="shared" si="6"/>
        <v>17429390.383350708</v>
      </c>
      <c r="L146" s="150">
        <f t="shared" ref="L146:L209" si="9">L145+$K$140</f>
        <v>7416516.1631907085</v>
      </c>
    </row>
    <row r="147" spans="1:12" ht="15" x14ac:dyDescent="0.2">
      <c r="A147" s="145">
        <v>0.03</v>
      </c>
      <c r="B147" s="146">
        <f t="shared" si="2"/>
        <v>25937500</v>
      </c>
      <c r="C147" s="147">
        <f t="shared" si="3"/>
        <v>6688326.6882919893</v>
      </c>
      <c r="D147" s="149">
        <f t="shared" ref="D147:D210" si="10">D146+H$140</f>
        <v>778125</v>
      </c>
      <c r="E147" s="147">
        <f t="shared" si="7"/>
        <v>15915076.21605199</v>
      </c>
      <c r="F147" s="150">
        <f t="shared" si="8"/>
        <v>6965129.1741247904</v>
      </c>
      <c r="G147" s="145"/>
      <c r="H147" s="151">
        <f t="shared" si="4"/>
        <v>30000000</v>
      </c>
      <c r="I147" s="147">
        <f t="shared" si="5"/>
        <v>7212171.7913507083</v>
      </c>
      <c r="J147" s="149">
        <f t="shared" ref="J147:J210" si="11">J146+J$140</f>
        <v>900000</v>
      </c>
      <c r="K147" s="149">
        <f t="shared" si="6"/>
        <v>17429390.383350708</v>
      </c>
      <c r="L147" s="150">
        <f t="shared" si="9"/>
        <v>7518688.3491107086</v>
      </c>
    </row>
    <row r="148" spans="1:12" ht="15" x14ac:dyDescent="0.2">
      <c r="A148" s="145">
        <v>0.04</v>
      </c>
      <c r="B148" s="146">
        <f t="shared" si="2"/>
        <v>25937500</v>
      </c>
      <c r="C148" s="147">
        <f t="shared" si="3"/>
        <v>6688326.6882919893</v>
      </c>
      <c r="D148" s="149">
        <f t="shared" si="10"/>
        <v>1037500</v>
      </c>
      <c r="E148" s="147">
        <f t="shared" si="7"/>
        <v>15915076.21605199</v>
      </c>
      <c r="F148" s="150">
        <f t="shared" si="8"/>
        <v>7057396.6694023907</v>
      </c>
      <c r="G148" s="145"/>
      <c r="H148" s="151">
        <f t="shared" si="4"/>
        <v>30000000</v>
      </c>
      <c r="I148" s="147">
        <f t="shared" si="5"/>
        <v>7212171.7913507083</v>
      </c>
      <c r="J148" s="149">
        <f t="shared" si="11"/>
        <v>1200000</v>
      </c>
      <c r="K148" s="149">
        <f t="shared" si="6"/>
        <v>17429390.383350708</v>
      </c>
      <c r="L148" s="150">
        <f t="shared" si="9"/>
        <v>7620860.5350307086</v>
      </c>
    </row>
    <row r="149" spans="1:12" ht="15" x14ac:dyDescent="0.2">
      <c r="A149" s="145">
        <v>0.05</v>
      </c>
      <c r="B149" s="146">
        <f t="shared" si="2"/>
        <v>25937500</v>
      </c>
      <c r="C149" s="147">
        <f t="shared" si="3"/>
        <v>6688326.6882919893</v>
      </c>
      <c r="D149" s="149">
        <f t="shared" si="10"/>
        <v>1296875</v>
      </c>
      <c r="E149" s="147">
        <f t="shared" si="7"/>
        <v>15915076.21605199</v>
      </c>
      <c r="F149" s="150">
        <f t="shared" si="8"/>
        <v>7149664.1646799911</v>
      </c>
      <c r="G149" s="145"/>
      <c r="H149" s="151">
        <f t="shared" si="4"/>
        <v>30000000</v>
      </c>
      <c r="I149" s="147">
        <f t="shared" si="5"/>
        <v>7212171.7913507083</v>
      </c>
      <c r="J149" s="149">
        <f t="shared" si="11"/>
        <v>1500000</v>
      </c>
      <c r="K149" s="149">
        <f t="shared" si="6"/>
        <v>17429390.383350708</v>
      </c>
      <c r="L149" s="150">
        <f t="shared" si="9"/>
        <v>7723032.7209507087</v>
      </c>
    </row>
    <row r="150" spans="1:12" ht="15" x14ac:dyDescent="0.2">
      <c r="A150" s="145">
        <v>0.06</v>
      </c>
      <c r="B150" s="146">
        <f t="shared" si="2"/>
        <v>25937500</v>
      </c>
      <c r="C150" s="147">
        <f t="shared" si="3"/>
        <v>6688326.6882919893</v>
      </c>
      <c r="D150" s="149">
        <f t="shared" si="10"/>
        <v>1556250</v>
      </c>
      <c r="E150" s="147">
        <f t="shared" si="7"/>
        <v>15915076.21605199</v>
      </c>
      <c r="F150" s="150">
        <f t="shared" si="8"/>
        <v>7241931.6599575914</v>
      </c>
      <c r="G150" s="145"/>
      <c r="H150" s="151">
        <f t="shared" si="4"/>
        <v>30000000</v>
      </c>
      <c r="I150" s="147">
        <f t="shared" si="5"/>
        <v>7212171.7913507083</v>
      </c>
      <c r="J150" s="149">
        <f t="shared" si="11"/>
        <v>1800000</v>
      </c>
      <c r="K150" s="149">
        <f t="shared" si="6"/>
        <v>17429390.383350708</v>
      </c>
      <c r="L150" s="150">
        <f t="shared" si="9"/>
        <v>7825204.9068707088</v>
      </c>
    </row>
    <row r="151" spans="1:12" ht="15" x14ac:dyDescent="0.2">
      <c r="A151" s="145">
        <v>7.0000000000000007E-2</v>
      </c>
      <c r="B151" s="146">
        <f t="shared" si="2"/>
        <v>25937500</v>
      </c>
      <c r="C151" s="147">
        <f t="shared" si="3"/>
        <v>6688326.6882919893</v>
      </c>
      <c r="D151" s="149">
        <f t="shared" si="10"/>
        <v>1815625</v>
      </c>
      <c r="E151" s="147">
        <f t="shared" si="7"/>
        <v>15915076.21605199</v>
      </c>
      <c r="F151" s="150">
        <f t="shared" si="8"/>
        <v>7334199.1552351918</v>
      </c>
      <c r="G151" s="145"/>
      <c r="H151" s="151">
        <f t="shared" si="4"/>
        <v>30000000</v>
      </c>
      <c r="I151" s="147">
        <f t="shared" si="5"/>
        <v>7212171.7913507083</v>
      </c>
      <c r="J151" s="149">
        <f t="shared" si="11"/>
        <v>2100000</v>
      </c>
      <c r="K151" s="149">
        <f t="shared" si="6"/>
        <v>17429390.383350708</v>
      </c>
      <c r="L151" s="150">
        <f t="shared" si="9"/>
        <v>7927377.0927907089</v>
      </c>
    </row>
    <row r="152" spans="1:12" ht="15" x14ac:dyDescent="0.2">
      <c r="A152" s="145">
        <v>0.08</v>
      </c>
      <c r="B152" s="146">
        <f t="shared" si="2"/>
        <v>25937500</v>
      </c>
      <c r="C152" s="147">
        <f t="shared" si="3"/>
        <v>6688326.6882919893</v>
      </c>
      <c r="D152" s="149">
        <f t="shared" si="10"/>
        <v>2075000</v>
      </c>
      <c r="E152" s="147">
        <f t="shared" si="7"/>
        <v>15915076.21605199</v>
      </c>
      <c r="F152" s="150">
        <f t="shared" si="8"/>
        <v>7426466.6505127922</v>
      </c>
      <c r="G152" s="145"/>
      <c r="H152" s="151">
        <f t="shared" si="4"/>
        <v>30000000</v>
      </c>
      <c r="I152" s="147">
        <f t="shared" si="5"/>
        <v>7212171.7913507083</v>
      </c>
      <c r="J152" s="149">
        <f t="shared" si="11"/>
        <v>2400000</v>
      </c>
      <c r="K152" s="149">
        <f t="shared" si="6"/>
        <v>17429390.383350708</v>
      </c>
      <c r="L152" s="150">
        <f t="shared" si="9"/>
        <v>8029549.278710709</v>
      </c>
    </row>
    <row r="153" spans="1:12" ht="15" x14ac:dyDescent="0.2">
      <c r="A153" s="145">
        <v>0.09</v>
      </c>
      <c r="B153" s="146">
        <f t="shared" si="2"/>
        <v>25937500</v>
      </c>
      <c r="C153" s="147">
        <f t="shared" si="3"/>
        <v>6688326.6882919893</v>
      </c>
      <c r="D153" s="149">
        <f t="shared" si="10"/>
        <v>2334375</v>
      </c>
      <c r="E153" s="147">
        <f t="shared" si="7"/>
        <v>15915076.21605199</v>
      </c>
      <c r="F153" s="150">
        <f t="shared" si="8"/>
        <v>7518734.1457903925</v>
      </c>
      <c r="G153" s="145"/>
      <c r="H153" s="151">
        <f t="shared" si="4"/>
        <v>30000000</v>
      </c>
      <c r="I153" s="147">
        <f t="shared" si="5"/>
        <v>7212171.7913507083</v>
      </c>
      <c r="J153" s="149">
        <f t="shared" si="11"/>
        <v>2700000</v>
      </c>
      <c r="K153" s="149">
        <f t="shared" si="6"/>
        <v>17429390.383350708</v>
      </c>
      <c r="L153" s="150">
        <f t="shared" si="9"/>
        <v>8131721.464630709</v>
      </c>
    </row>
    <row r="154" spans="1:12" ht="15" x14ac:dyDescent="0.2">
      <c r="A154" s="145">
        <v>0.1</v>
      </c>
      <c r="B154" s="146">
        <f t="shared" si="2"/>
        <v>25937500</v>
      </c>
      <c r="C154" s="147">
        <f t="shared" si="3"/>
        <v>6688326.6882919893</v>
      </c>
      <c r="D154" s="149">
        <f t="shared" si="10"/>
        <v>2593750</v>
      </c>
      <c r="E154" s="147">
        <f t="shared" si="7"/>
        <v>15915076.21605199</v>
      </c>
      <c r="F154" s="150">
        <f t="shared" si="8"/>
        <v>7611001.6410679929</v>
      </c>
      <c r="G154" s="145"/>
      <c r="H154" s="151">
        <f t="shared" si="4"/>
        <v>30000000</v>
      </c>
      <c r="I154" s="147">
        <f t="shared" si="5"/>
        <v>7212171.7913507083</v>
      </c>
      <c r="J154" s="149">
        <f t="shared" si="11"/>
        <v>3000000</v>
      </c>
      <c r="K154" s="149">
        <f t="shared" si="6"/>
        <v>17429390.383350708</v>
      </c>
      <c r="L154" s="150">
        <f t="shared" si="9"/>
        <v>8233893.6505507091</v>
      </c>
    </row>
    <row r="155" spans="1:12" ht="15" x14ac:dyDescent="0.2">
      <c r="A155" s="145">
        <v>0.11</v>
      </c>
      <c r="B155" s="146">
        <f t="shared" si="2"/>
        <v>25937500</v>
      </c>
      <c r="C155" s="147">
        <f t="shared" si="3"/>
        <v>6688326.6882919893</v>
      </c>
      <c r="D155" s="149">
        <f t="shared" si="10"/>
        <v>2853125</v>
      </c>
      <c r="E155" s="147">
        <f t="shared" si="7"/>
        <v>15915076.21605199</v>
      </c>
      <c r="F155" s="150">
        <f>F154+$I$140</f>
        <v>7703269.1363455933</v>
      </c>
      <c r="G155" s="145"/>
      <c r="H155" s="151">
        <f t="shared" si="4"/>
        <v>30000000</v>
      </c>
      <c r="I155" s="147">
        <f t="shared" si="5"/>
        <v>7212171.7913507083</v>
      </c>
      <c r="J155" s="149">
        <f t="shared" si="11"/>
        <v>3300000</v>
      </c>
      <c r="K155" s="149">
        <f t="shared" si="6"/>
        <v>17429390.383350708</v>
      </c>
      <c r="L155" s="150">
        <f t="shared" si="9"/>
        <v>8336065.8364707092</v>
      </c>
    </row>
    <row r="156" spans="1:12" ht="15" x14ac:dyDescent="0.2">
      <c r="A156" s="145">
        <v>0.12</v>
      </c>
      <c r="B156" s="146">
        <f t="shared" si="2"/>
        <v>25937500</v>
      </c>
      <c r="C156" s="147">
        <f t="shared" si="3"/>
        <v>6688326.6882919893</v>
      </c>
      <c r="D156" s="149">
        <f t="shared" si="10"/>
        <v>3112500</v>
      </c>
      <c r="E156" s="147">
        <f t="shared" si="7"/>
        <v>15915076.21605199</v>
      </c>
      <c r="F156" s="150">
        <f t="shared" si="8"/>
        <v>7795536.6316231936</v>
      </c>
      <c r="G156" s="145"/>
      <c r="H156" s="151">
        <f t="shared" si="4"/>
        <v>30000000</v>
      </c>
      <c r="I156" s="147">
        <f t="shared" si="5"/>
        <v>7212171.7913507083</v>
      </c>
      <c r="J156" s="149">
        <f t="shared" si="11"/>
        <v>3600000</v>
      </c>
      <c r="K156" s="149">
        <f t="shared" si="6"/>
        <v>17429390.383350708</v>
      </c>
      <c r="L156" s="150">
        <f t="shared" si="9"/>
        <v>8438238.0223907083</v>
      </c>
    </row>
    <row r="157" spans="1:12" ht="15" x14ac:dyDescent="0.2">
      <c r="A157" s="145">
        <v>0.13</v>
      </c>
      <c r="B157" s="146">
        <f t="shared" si="2"/>
        <v>25937500</v>
      </c>
      <c r="C157" s="147">
        <f t="shared" si="3"/>
        <v>6688326.6882919893</v>
      </c>
      <c r="D157" s="149">
        <f t="shared" si="10"/>
        <v>3371875</v>
      </c>
      <c r="E157" s="147">
        <f t="shared" si="7"/>
        <v>15915076.21605199</v>
      </c>
      <c r="F157" s="150">
        <f t="shared" si="8"/>
        <v>7887804.126900794</v>
      </c>
      <c r="G157" s="145"/>
      <c r="H157" s="151">
        <f t="shared" si="4"/>
        <v>30000000</v>
      </c>
      <c r="I157" s="147">
        <f t="shared" si="5"/>
        <v>7212171.7913507083</v>
      </c>
      <c r="J157" s="149">
        <f t="shared" si="11"/>
        <v>3900000</v>
      </c>
      <c r="K157" s="149">
        <f t="shared" si="6"/>
        <v>17429390.383350708</v>
      </c>
      <c r="L157" s="150">
        <f t="shared" si="9"/>
        <v>8540410.2083107084</v>
      </c>
    </row>
    <row r="158" spans="1:12" ht="15" x14ac:dyDescent="0.2">
      <c r="A158" s="145">
        <v>0.14000000000000001</v>
      </c>
      <c r="B158" s="146">
        <f t="shared" si="2"/>
        <v>25937500</v>
      </c>
      <c r="C158" s="147">
        <f t="shared" si="3"/>
        <v>6688326.6882919893</v>
      </c>
      <c r="D158" s="149">
        <f t="shared" si="10"/>
        <v>3631250</v>
      </c>
      <c r="E158" s="147">
        <f t="shared" si="7"/>
        <v>15915076.21605199</v>
      </c>
      <c r="F158" s="150">
        <f t="shared" si="8"/>
        <v>7980071.6221783943</v>
      </c>
      <c r="G158" s="145"/>
      <c r="H158" s="151">
        <f t="shared" si="4"/>
        <v>30000000</v>
      </c>
      <c r="I158" s="147">
        <f t="shared" si="5"/>
        <v>7212171.7913507083</v>
      </c>
      <c r="J158" s="149">
        <f t="shared" si="11"/>
        <v>4200000</v>
      </c>
      <c r="K158" s="149">
        <f t="shared" si="6"/>
        <v>17429390.383350708</v>
      </c>
      <c r="L158" s="150">
        <f t="shared" si="9"/>
        <v>8642582.3942307085</v>
      </c>
    </row>
    <row r="159" spans="1:12" ht="15" x14ac:dyDescent="0.2">
      <c r="A159" s="145">
        <v>0.15</v>
      </c>
      <c r="B159" s="146">
        <f t="shared" si="2"/>
        <v>25937500</v>
      </c>
      <c r="C159" s="147">
        <f t="shared" si="3"/>
        <v>6688326.6882919893</v>
      </c>
      <c r="D159" s="149">
        <f t="shared" si="10"/>
        <v>3890625</v>
      </c>
      <c r="E159" s="147">
        <f t="shared" si="7"/>
        <v>15915076.21605199</v>
      </c>
      <c r="F159" s="150">
        <f t="shared" si="8"/>
        <v>8072339.1174559947</v>
      </c>
      <c r="G159" s="145"/>
      <c r="H159" s="151">
        <f t="shared" si="4"/>
        <v>30000000</v>
      </c>
      <c r="I159" s="147">
        <f t="shared" si="5"/>
        <v>7212171.7913507083</v>
      </c>
      <c r="J159" s="149">
        <f t="shared" si="11"/>
        <v>4500000</v>
      </c>
      <c r="K159" s="149">
        <f t="shared" si="6"/>
        <v>17429390.383350708</v>
      </c>
      <c r="L159" s="150">
        <f t="shared" si="9"/>
        <v>8744754.5801507086</v>
      </c>
    </row>
    <row r="160" spans="1:12" ht="15" x14ac:dyDescent="0.2">
      <c r="A160" s="145">
        <v>0.16</v>
      </c>
      <c r="B160" s="146">
        <f t="shared" si="2"/>
        <v>25937500</v>
      </c>
      <c r="C160" s="147">
        <f t="shared" si="3"/>
        <v>6688326.6882919893</v>
      </c>
      <c r="D160" s="149">
        <f t="shared" si="10"/>
        <v>4150000</v>
      </c>
      <c r="E160" s="147">
        <f t="shared" si="7"/>
        <v>15915076.21605199</v>
      </c>
      <c r="F160" s="150">
        <f t="shared" si="8"/>
        <v>8164606.6127335951</v>
      </c>
      <c r="G160" s="145"/>
      <c r="H160" s="151">
        <f t="shared" si="4"/>
        <v>30000000</v>
      </c>
      <c r="I160" s="147">
        <f t="shared" si="5"/>
        <v>7212171.7913507083</v>
      </c>
      <c r="J160" s="149">
        <f t="shared" si="11"/>
        <v>4800000</v>
      </c>
      <c r="K160" s="149">
        <f t="shared" si="6"/>
        <v>17429390.383350708</v>
      </c>
      <c r="L160" s="150">
        <f t="shared" si="9"/>
        <v>8846926.7660707086</v>
      </c>
    </row>
    <row r="161" spans="1:12" ht="15" x14ac:dyDescent="0.2">
      <c r="A161" s="145">
        <v>0.17</v>
      </c>
      <c r="B161" s="146">
        <f t="shared" si="2"/>
        <v>25937500</v>
      </c>
      <c r="C161" s="147">
        <f t="shared" si="3"/>
        <v>6688326.6882919893</v>
      </c>
      <c r="D161" s="149">
        <f t="shared" si="10"/>
        <v>4409375</v>
      </c>
      <c r="E161" s="147">
        <f t="shared" si="7"/>
        <v>15915076.21605199</v>
      </c>
      <c r="F161" s="150">
        <f t="shared" si="8"/>
        <v>8256874.1080111954</v>
      </c>
      <c r="G161" s="145"/>
      <c r="H161" s="151">
        <f t="shared" si="4"/>
        <v>30000000</v>
      </c>
      <c r="I161" s="147">
        <f t="shared" si="5"/>
        <v>7212171.7913507083</v>
      </c>
      <c r="J161" s="149">
        <f t="shared" si="11"/>
        <v>5100000</v>
      </c>
      <c r="K161" s="149">
        <f t="shared" si="6"/>
        <v>17429390.383350708</v>
      </c>
      <c r="L161" s="150">
        <f t="shared" si="9"/>
        <v>8949098.9519907087</v>
      </c>
    </row>
    <row r="162" spans="1:12" ht="15" x14ac:dyDescent="0.2">
      <c r="A162" s="145">
        <v>0.18</v>
      </c>
      <c r="B162" s="146">
        <f t="shared" si="2"/>
        <v>25937500</v>
      </c>
      <c r="C162" s="147">
        <f t="shared" si="3"/>
        <v>6688326.6882919893</v>
      </c>
      <c r="D162" s="149">
        <f t="shared" si="10"/>
        <v>4668750</v>
      </c>
      <c r="E162" s="147">
        <f t="shared" si="7"/>
        <v>15915076.21605199</v>
      </c>
      <c r="F162" s="150">
        <f t="shared" si="8"/>
        <v>8349141.6032887958</v>
      </c>
      <c r="G162" s="145"/>
      <c r="H162" s="151">
        <f t="shared" si="4"/>
        <v>30000000</v>
      </c>
      <c r="I162" s="147">
        <f t="shared" si="5"/>
        <v>7212171.7913507083</v>
      </c>
      <c r="J162" s="149">
        <f t="shared" si="11"/>
        <v>5400000</v>
      </c>
      <c r="K162" s="149">
        <f t="shared" si="6"/>
        <v>17429390.383350708</v>
      </c>
      <c r="L162" s="150">
        <f t="shared" si="9"/>
        <v>9051271.1379107088</v>
      </c>
    </row>
    <row r="163" spans="1:12" ht="15" x14ac:dyDescent="0.2">
      <c r="A163" s="145">
        <v>0.19</v>
      </c>
      <c r="B163" s="146">
        <f t="shared" si="2"/>
        <v>25937500</v>
      </c>
      <c r="C163" s="147">
        <f t="shared" si="3"/>
        <v>6688326.6882919893</v>
      </c>
      <c r="D163" s="149">
        <f t="shared" si="10"/>
        <v>4928125</v>
      </c>
      <c r="E163" s="147">
        <f t="shared" si="7"/>
        <v>15915076.21605199</v>
      </c>
      <c r="F163" s="150">
        <f t="shared" si="8"/>
        <v>8441409.0985663962</v>
      </c>
      <c r="G163" s="145"/>
      <c r="H163" s="151">
        <f t="shared" si="4"/>
        <v>30000000</v>
      </c>
      <c r="I163" s="147">
        <f t="shared" si="5"/>
        <v>7212171.7913507083</v>
      </c>
      <c r="J163" s="149">
        <f t="shared" si="11"/>
        <v>5700000</v>
      </c>
      <c r="K163" s="149">
        <f t="shared" si="6"/>
        <v>17429390.383350708</v>
      </c>
      <c r="L163" s="150">
        <f t="shared" si="9"/>
        <v>9153443.3238307089</v>
      </c>
    </row>
    <row r="164" spans="1:12" ht="15" x14ac:dyDescent="0.2">
      <c r="A164" s="145">
        <v>0.2</v>
      </c>
      <c r="B164" s="146">
        <f t="shared" si="2"/>
        <v>25937500</v>
      </c>
      <c r="C164" s="147">
        <f t="shared" si="3"/>
        <v>6688326.6882919893</v>
      </c>
      <c r="D164" s="149">
        <f t="shared" si="10"/>
        <v>5187500</v>
      </c>
      <c r="E164" s="147">
        <f t="shared" si="7"/>
        <v>15915076.21605199</v>
      </c>
      <c r="F164" s="150">
        <f t="shared" si="8"/>
        <v>8533676.5938439965</v>
      </c>
      <c r="G164" s="145"/>
      <c r="H164" s="151">
        <f t="shared" si="4"/>
        <v>30000000</v>
      </c>
      <c r="I164" s="147">
        <f t="shared" si="5"/>
        <v>7212171.7913507083</v>
      </c>
      <c r="J164" s="149">
        <f t="shared" si="11"/>
        <v>6000000</v>
      </c>
      <c r="K164" s="149">
        <f t="shared" si="6"/>
        <v>17429390.383350708</v>
      </c>
      <c r="L164" s="150">
        <f t="shared" si="9"/>
        <v>9255615.5097507089</v>
      </c>
    </row>
    <row r="165" spans="1:12" ht="15" x14ac:dyDescent="0.2">
      <c r="A165" s="145">
        <v>0.21</v>
      </c>
      <c r="B165" s="146">
        <f t="shared" si="2"/>
        <v>25937500</v>
      </c>
      <c r="C165" s="147">
        <f t="shared" si="3"/>
        <v>6688326.6882919893</v>
      </c>
      <c r="D165" s="149">
        <f t="shared" si="10"/>
        <v>5446875</v>
      </c>
      <c r="E165" s="147">
        <f t="shared" si="7"/>
        <v>15915076.21605199</v>
      </c>
      <c r="F165" s="150">
        <f t="shared" si="8"/>
        <v>8625944.0891215969</v>
      </c>
      <c r="G165" s="145"/>
      <c r="H165" s="151">
        <f t="shared" si="4"/>
        <v>30000000</v>
      </c>
      <c r="I165" s="147">
        <f t="shared" si="5"/>
        <v>7212171.7913507083</v>
      </c>
      <c r="J165" s="149">
        <f t="shared" si="11"/>
        <v>6300000</v>
      </c>
      <c r="K165" s="149">
        <f t="shared" si="6"/>
        <v>17429390.383350708</v>
      </c>
      <c r="L165" s="150">
        <f t="shared" si="9"/>
        <v>9357787.695670709</v>
      </c>
    </row>
    <row r="166" spans="1:12" ht="15" x14ac:dyDescent="0.2">
      <c r="A166" s="145">
        <v>0.22</v>
      </c>
      <c r="B166" s="146">
        <f t="shared" si="2"/>
        <v>25937500</v>
      </c>
      <c r="C166" s="147">
        <f t="shared" si="3"/>
        <v>6688326.6882919893</v>
      </c>
      <c r="D166" s="149">
        <f t="shared" si="10"/>
        <v>5706250</v>
      </c>
      <c r="E166" s="147">
        <f t="shared" si="7"/>
        <v>15915076.21605199</v>
      </c>
      <c r="F166" s="150">
        <f t="shared" si="8"/>
        <v>8718211.5843991973</v>
      </c>
      <c r="G166" s="145"/>
      <c r="H166" s="151">
        <f t="shared" si="4"/>
        <v>30000000</v>
      </c>
      <c r="I166" s="147">
        <f t="shared" si="5"/>
        <v>7212171.7913507083</v>
      </c>
      <c r="J166" s="149">
        <f t="shared" si="11"/>
        <v>6600000</v>
      </c>
      <c r="K166" s="149">
        <f t="shared" si="6"/>
        <v>17429390.383350708</v>
      </c>
      <c r="L166" s="150">
        <f t="shared" si="9"/>
        <v>9459959.8815907091</v>
      </c>
    </row>
    <row r="167" spans="1:12" ht="15" x14ac:dyDescent="0.2">
      <c r="A167" s="145">
        <v>0.23</v>
      </c>
      <c r="B167" s="146">
        <f t="shared" si="2"/>
        <v>25937500</v>
      </c>
      <c r="C167" s="147">
        <f t="shared" si="3"/>
        <v>6688326.6882919893</v>
      </c>
      <c r="D167" s="149">
        <f t="shared" si="10"/>
        <v>5965625</v>
      </c>
      <c r="E167" s="147">
        <f t="shared" si="7"/>
        <v>15915076.21605199</v>
      </c>
      <c r="F167" s="150">
        <f t="shared" si="8"/>
        <v>8810479.0796767976</v>
      </c>
      <c r="G167" s="145"/>
      <c r="H167" s="151">
        <f t="shared" si="4"/>
        <v>30000000</v>
      </c>
      <c r="I167" s="147">
        <f t="shared" si="5"/>
        <v>7212171.7913507083</v>
      </c>
      <c r="J167" s="149">
        <f t="shared" si="11"/>
        <v>6900000</v>
      </c>
      <c r="K167" s="149">
        <f t="shared" si="6"/>
        <v>17429390.383350708</v>
      </c>
      <c r="L167" s="150">
        <f t="shared" si="9"/>
        <v>9562132.0675107092</v>
      </c>
    </row>
    <row r="168" spans="1:12" ht="15" x14ac:dyDescent="0.2">
      <c r="A168" s="145">
        <v>0.24</v>
      </c>
      <c r="B168" s="146">
        <f t="shared" si="2"/>
        <v>25937500</v>
      </c>
      <c r="C168" s="147">
        <f t="shared" si="3"/>
        <v>6688326.6882919893</v>
      </c>
      <c r="D168" s="149">
        <f t="shared" si="10"/>
        <v>6225000</v>
      </c>
      <c r="E168" s="147">
        <f t="shared" si="7"/>
        <v>15915076.21605199</v>
      </c>
      <c r="F168" s="150">
        <f t="shared" si="8"/>
        <v>8902746.574954398</v>
      </c>
      <c r="G168" s="145"/>
      <c r="H168" s="151">
        <f t="shared" si="4"/>
        <v>30000000</v>
      </c>
      <c r="I168" s="147">
        <f t="shared" si="5"/>
        <v>7212171.7913507083</v>
      </c>
      <c r="J168" s="149">
        <f t="shared" si="11"/>
        <v>7200000</v>
      </c>
      <c r="K168" s="149">
        <f t="shared" si="6"/>
        <v>17429390.383350708</v>
      </c>
      <c r="L168" s="150">
        <f t="shared" si="9"/>
        <v>9664304.2534307092</v>
      </c>
    </row>
    <row r="169" spans="1:12" ht="15" x14ac:dyDescent="0.2">
      <c r="A169" s="145">
        <v>0.25</v>
      </c>
      <c r="B169" s="146">
        <f t="shared" si="2"/>
        <v>25937500</v>
      </c>
      <c r="C169" s="147">
        <f t="shared" si="3"/>
        <v>6688326.6882919893</v>
      </c>
      <c r="D169" s="149">
        <f t="shared" si="10"/>
        <v>6484375</v>
      </c>
      <c r="E169" s="147">
        <f t="shared" si="7"/>
        <v>15915076.21605199</v>
      </c>
      <c r="F169" s="150">
        <f t="shared" si="8"/>
        <v>8995014.0702319983</v>
      </c>
      <c r="G169" s="145"/>
      <c r="H169" s="151">
        <f t="shared" si="4"/>
        <v>30000000</v>
      </c>
      <c r="I169" s="147">
        <f t="shared" si="5"/>
        <v>7212171.7913507083</v>
      </c>
      <c r="J169" s="149">
        <f t="shared" si="11"/>
        <v>7500000</v>
      </c>
      <c r="K169" s="149">
        <f t="shared" si="6"/>
        <v>17429390.383350708</v>
      </c>
      <c r="L169" s="150">
        <f t="shared" si="9"/>
        <v>9766476.4393507093</v>
      </c>
    </row>
    <row r="170" spans="1:12" ht="15" x14ac:dyDescent="0.2">
      <c r="A170" s="145">
        <v>0.26</v>
      </c>
      <c r="B170" s="146">
        <f t="shared" si="2"/>
        <v>25937500</v>
      </c>
      <c r="C170" s="147">
        <f t="shared" si="3"/>
        <v>6688326.6882919893</v>
      </c>
      <c r="D170" s="149">
        <f t="shared" si="10"/>
        <v>6743750</v>
      </c>
      <c r="E170" s="147">
        <f t="shared" si="7"/>
        <v>15915076.21605199</v>
      </c>
      <c r="F170" s="150">
        <f>F169+$I$140</f>
        <v>9087281.5655095987</v>
      </c>
      <c r="G170" s="145"/>
      <c r="H170" s="151">
        <f t="shared" si="4"/>
        <v>30000000</v>
      </c>
      <c r="I170" s="147">
        <f t="shared" si="5"/>
        <v>7212171.7913507083</v>
      </c>
      <c r="J170" s="149">
        <f t="shared" si="11"/>
        <v>7800000</v>
      </c>
      <c r="K170" s="149">
        <f t="shared" si="6"/>
        <v>17429390.383350708</v>
      </c>
      <c r="L170" s="150">
        <f t="shared" si="9"/>
        <v>9868648.6252707094</v>
      </c>
    </row>
    <row r="171" spans="1:12" ht="15" x14ac:dyDescent="0.2">
      <c r="A171" s="145">
        <v>0.27</v>
      </c>
      <c r="B171" s="146">
        <f t="shared" si="2"/>
        <v>25937500</v>
      </c>
      <c r="C171" s="147">
        <f t="shared" si="3"/>
        <v>6688326.6882919893</v>
      </c>
      <c r="D171" s="149">
        <f t="shared" si="10"/>
        <v>7003125</v>
      </c>
      <c r="E171" s="147">
        <f t="shared" si="7"/>
        <v>15915076.21605199</v>
      </c>
      <c r="F171" s="150">
        <f t="shared" si="8"/>
        <v>9179549.0607871991</v>
      </c>
      <c r="G171" s="145"/>
      <c r="H171" s="151">
        <f t="shared" si="4"/>
        <v>30000000</v>
      </c>
      <c r="I171" s="147">
        <f t="shared" si="5"/>
        <v>7212171.7913507083</v>
      </c>
      <c r="J171" s="149">
        <f t="shared" si="11"/>
        <v>8100000</v>
      </c>
      <c r="K171" s="149">
        <f t="shared" si="6"/>
        <v>17429390.383350708</v>
      </c>
      <c r="L171" s="150">
        <f t="shared" si="9"/>
        <v>9970820.8111907095</v>
      </c>
    </row>
    <row r="172" spans="1:12" ht="15" x14ac:dyDescent="0.2">
      <c r="A172" s="145">
        <v>0.28000000000000003</v>
      </c>
      <c r="B172" s="146">
        <f t="shared" si="2"/>
        <v>25937500</v>
      </c>
      <c r="C172" s="147">
        <f t="shared" si="3"/>
        <v>6688326.6882919893</v>
      </c>
      <c r="D172" s="149">
        <f t="shared" si="10"/>
        <v>7262500</v>
      </c>
      <c r="E172" s="147">
        <f t="shared" si="7"/>
        <v>15915076.21605199</v>
      </c>
      <c r="F172" s="150">
        <f t="shared" si="8"/>
        <v>9271816.5560647994</v>
      </c>
      <c r="G172" s="145"/>
      <c r="H172" s="151">
        <f t="shared" si="4"/>
        <v>30000000</v>
      </c>
      <c r="I172" s="147">
        <f t="shared" si="5"/>
        <v>7212171.7913507083</v>
      </c>
      <c r="J172" s="149">
        <f t="shared" si="11"/>
        <v>8400000</v>
      </c>
      <c r="K172" s="149">
        <f t="shared" si="6"/>
        <v>17429390.383350708</v>
      </c>
      <c r="L172" s="150">
        <f t="shared" si="9"/>
        <v>10072992.99711071</v>
      </c>
    </row>
    <row r="173" spans="1:12" ht="15" x14ac:dyDescent="0.2">
      <c r="A173" s="145">
        <v>0.28999999999999998</v>
      </c>
      <c r="B173" s="146">
        <f t="shared" si="2"/>
        <v>25937500</v>
      </c>
      <c r="C173" s="147">
        <f t="shared" si="3"/>
        <v>6688326.6882919893</v>
      </c>
      <c r="D173" s="149">
        <f t="shared" si="10"/>
        <v>7521875</v>
      </c>
      <c r="E173" s="147">
        <f t="shared" si="7"/>
        <v>15915076.21605199</v>
      </c>
      <c r="F173" s="150">
        <f t="shared" si="8"/>
        <v>9364084.0513423998</v>
      </c>
      <c r="G173" s="145"/>
      <c r="H173" s="151">
        <f t="shared" si="4"/>
        <v>30000000</v>
      </c>
      <c r="I173" s="147">
        <f t="shared" si="5"/>
        <v>7212171.7913507083</v>
      </c>
      <c r="J173" s="149">
        <f t="shared" si="11"/>
        <v>8700000</v>
      </c>
      <c r="K173" s="149">
        <f t="shared" si="6"/>
        <v>17429390.383350708</v>
      </c>
      <c r="L173" s="150">
        <f t="shared" si="9"/>
        <v>10175165.18303071</v>
      </c>
    </row>
    <row r="174" spans="1:12" ht="15" x14ac:dyDescent="0.2">
      <c r="A174" s="145">
        <v>0.3</v>
      </c>
      <c r="B174" s="146">
        <f t="shared" si="2"/>
        <v>25937500</v>
      </c>
      <c r="C174" s="147">
        <f t="shared" si="3"/>
        <v>6688326.6882919893</v>
      </c>
      <c r="D174" s="149">
        <f t="shared" si="10"/>
        <v>7781250</v>
      </c>
      <c r="E174" s="147">
        <f t="shared" si="7"/>
        <v>15915076.21605199</v>
      </c>
      <c r="F174" s="150">
        <f t="shared" si="8"/>
        <v>9456351.5466200002</v>
      </c>
      <c r="G174" s="145"/>
      <c r="H174" s="151">
        <f t="shared" si="4"/>
        <v>30000000</v>
      </c>
      <c r="I174" s="147">
        <f t="shared" si="5"/>
        <v>7212171.7913507083</v>
      </c>
      <c r="J174" s="149">
        <f t="shared" si="11"/>
        <v>9000000</v>
      </c>
      <c r="K174" s="149">
        <f t="shared" si="6"/>
        <v>17429390.383350708</v>
      </c>
      <c r="L174" s="150">
        <f t="shared" si="9"/>
        <v>10277337.36895071</v>
      </c>
    </row>
    <row r="175" spans="1:12" ht="15" x14ac:dyDescent="0.2">
      <c r="A175" s="145">
        <v>0.31</v>
      </c>
      <c r="B175" s="146">
        <f t="shared" si="2"/>
        <v>25937500</v>
      </c>
      <c r="C175" s="147">
        <f t="shared" si="3"/>
        <v>6688326.6882919893</v>
      </c>
      <c r="D175" s="149">
        <f t="shared" si="10"/>
        <v>8040625</v>
      </c>
      <c r="E175" s="147">
        <f t="shared" si="7"/>
        <v>15915076.21605199</v>
      </c>
      <c r="F175" s="150">
        <f t="shared" si="8"/>
        <v>9548619.0418976005</v>
      </c>
      <c r="G175" s="145"/>
      <c r="H175" s="151">
        <f t="shared" si="4"/>
        <v>30000000</v>
      </c>
      <c r="I175" s="147">
        <f t="shared" si="5"/>
        <v>7212171.7913507083</v>
      </c>
      <c r="J175" s="149">
        <f t="shared" si="11"/>
        <v>9300000</v>
      </c>
      <c r="K175" s="149">
        <f t="shared" si="6"/>
        <v>17429390.383350708</v>
      </c>
      <c r="L175" s="150">
        <f t="shared" si="9"/>
        <v>10379509.55487071</v>
      </c>
    </row>
    <row r="176" spans="1:12" ht="15" x14ac:dyDescent="0.2">
      <c r="A176" s="145">
        <v>0.32</v>
      </c>
      <c r="B176" s="146">
        <f t="shared" si="2"/>
        <v>25937500</v>
      </c>
      <c r="C176" s="147">
        <f t="shared" si="3"/>
        <v>6688326.6882919893</v>
      </c>
      <c r="D176" s="149">
        <f t="shared" si="10"/>
        <v>8300000</v>
      </c>
      <c r="E176" s="147">
        <f t="shared" si="7"/>
        <v>15915076.21605199</v>
      </c>
      <c r="F176" s="150">
        <f t="shared" si="8"/>
        <v>9640886.5371752009</v>
      </c>
      <c r="G176" s="145"/>
      <c r="H176" s="151">
        <f t="shared" si="4"/>
        <v>30000000</v>
      </c>
      <c r="I176" s="147">
        <f t="shared" si="5"/>
        <v>7212171.7913507083</v>
      </c>
      <c r="J176" s="149">
        <f t="shared" si="11"/>
        <v>9600000</v>
      </c>
      <c r="K176" s="149">
        <f t="shared" si="6"/>
        <v>17429390.383350708</v>
      </c>
      <c r="L176" s="150">
        <f t="shared" si="9"/>
        <v>10481681.74079071</v>
      </c>
    </row>
    <row r="177" spans="1:12" ht="15" x14ac:dyDescent="0.2">
      <c r="A177" s="145">
        <v>0.33</v>
      </c>
      <c r="B177" s="146">
        <f t="shared" si="2"/>
        <v>25937500</v>
      </c>
      <c r="C177" s="147">
        <f t="shared" si="3"/>
        <v>6688326.6882919893</v>
      </c>
      <c r="D177" s="149">
        <f t="shared" si="10"/>
        <v>8559375</v>
      </c>
      <c r="E177" s="147">
        <f t="shared" si="7"/>
        <v>15915076.21605199</v>
      </c>
      <c r="F177" s="150">
        <f t="shared" si="8"/>
        <v>9733154.0324528012</v>
      </c>
      <c r="G177" s="145"/>
      <c r="H177" s="151">
        <f t="shared" si="4"/>
        <v>30000000</v>
      </c>
      <c r="I177" s="147">
        <f t="shared" si="5"/>
        <v>7212171.7913507083</v>
      </c>
      <c r="J177" s="149">
        <f t="shared" si="11"/>
        <v>9900000</v>
      </c>
      <c r="K177" s="149">
        <f t="shared" si="6"/>
        <v>17429390.383350708</v>
      </c>
      <c r="L177" s="150">
        <f t="shared" si="9"/>
        <v>10583853.92671071</v>
      </c>
    </row>
    <row r="178" spans="1:12" ht="15" x14ac:dyDescent="0.2">
      <c r="A178" s="145">
        <v>0.34</v>
      </c>
      <c r="B178" s="146">
        <f t="shared" si="2"/>
        <v>25937500</v>
      </c>
      <c r="C178" s="147">
        <f t="shared" si="3"/>
        <v>6688326.6882919893</v>
      </c>
      <c r="D178" s="149">
        <f t="shared" si="10"/>
        <v>8818750</v>
      </c>
      <c r="E178" s="147">
        <f t="shared" si="7"/>
        <v>15915076.21605199</v>
      </c>
      <c r="F178" s="150">
        <f t="shared" si="8"/>
        <v>9825421.5277304016</v>
      </c>
      <c r="G178" s="145"/>
      <c r="H178" s="151">
        <f t="shared" si="4"/>
        <v>30000000</v>
      </c>
      <c r="I178" s="147">
        <f t="shared" si="5"/>
        <v>7212171.7913507083</v>
      </c>
      <c r="J178" s="149">
        <f t="shared" si="11"/>
        <v>10200000</v>
      </c>
      <c r="K178" s="149">
        <f t="shared" si="6"/>
        <v>17429390.383350708</v>
      </c>
      <c r="L178" s="150">
        <f t="shared" si="9"/>
        <v>10686026.11263071</v>
      </c>
    </row>
    <row r="179" spans="1:12" ht="15" x14ac:dyDescent="0.2">
      <c r="A179" s="145">
        <v>0.35</v>
      </c>
      <c r="B179" s="146">
        <f t="shared" si="2"/>
        <v>25937500</v>
      </c>
      <c r="C179" s="147">
        <f t="shared" si="3"/>
        <v>6688326.6882919893</v>
      </c>
      <c r="D179" s="149">
        <f t="shared" si="10"/>
        <v>9078125</v>
      </c>
      <c r="E179" s="147">
        <f t="shared" si="7"/>
        <v>15915076.21605199</v>
      </c>
      <c r="F179" s="150">
        <f t="shared" si="8"/>
        <v>9917689.023008002</v>
      </c>
      <c r="G179" s="145"/>
      <c r="H179" s="151">
        <f t="shared" si="4"/>
        <v>30000000</v>
      </c>
      <c r="I179" s="147">
        <f t="shared" si="5"/>
        <v>7212171.7913507083</v>
      </c>
      <c r="J179" s="149">
        <f t="shared" si="11"/>
        <v>10500000</v>
      </c>
      <c r="K179" s="149">
        <f t="shared" si="6"/>
        <v>17429390.383350708</v>
      </c>
      <c r="L179" s="150">
        <f t="shared" si="9"/>
        <v>10788198.29855071</v>
      </c>
    </row>
    <row r="180" spans="1:12" ht="15" x14ac:dyDescent="0.2">
      <c r="A180" s="145">
        <v>0.36</v>
      </c>
      <c r="B180" s="146">
        <f t="shared" si="2"/>
        <v>25937500</v>
      </c>
      <c r="C180" s="147">
        <f t="shared" si="3"/>
        <v>6688326.6882919893</v>
      </c>
      <c r="D180" s="149">
        <f t="shared" si="10"/>
        <v>9337500</v>
      </c>
      <c r="E180" s="147">
        <f t="shared" si="7"/>
        <v>15915076.21605199</v>
      </c>
      <c r="F180" s="150">
        <f t="shared" si="8"/>
        <v>10009956.518285602</v>
      </c>
      <c r="G180" s="145"/>
      <c r="H180" s="151">
        <f t="shared" si="4"/>
        <v>30000000</v>
      </c>
      <c r="I180" s="147">
        <f t="shared" si="5"/>
        <v>7212171.7913507083</v>
      </c>
      <c r="J180" s="149">
        <f t="shared" si="11"/>
        <v>10800000</v>
      </c>
      <c r="K180" s="149">
        <f t="shared" si="6"/>
        <v>17429390.383350708</v>
      </c>
      <c r="L180" s="150">
        <f t="shared" si="9"/>
        <v>10890370.48447071</v>
      </c>
    </row>
    <row r="181" spans="1:12" ht="15" x14ac:dyDescent="0.2">
      <c r="A181" s="145">
        <v>0.37</v>
      </c>
      <c r="B181" s="146">
        <f t="shared" si="2"/>
        <v>25937500</v>
      </c>
      <c r="C181" s="147">
        <f t="shared" si="3"/>
        <v>6688326.6882919893</v>
      </c>
      <c r="D181" s="149">
        <f t="shared" si="10"/>
        <v>9596875</v>
      </c>
      <c r="E181" s="147">
        <f t="shared" si="7"/>
        <v>15915076.21605199</v>
      </c>
      <c r="F181" s="150">
        <f t="shared" si="8"/>
        <v>10102224.013563203</v>
      </c>
      <c r="G181" s="145"/>
      <c r="H181" s="151">
        <f t="shared" si="4"/>
        <v>30000000</v>
      </c>
      <c r="I181" s="147">
        <f t="shared" si="5"/>
        <v>7212171.7913507083</v>
      </c>
      <c r="J181" s="149">
        <f t="shared" si="11"/>
        <v>11100000</v>
      </c>
      <c r="K181" s="149">
        <f t="shared" si="6"/>
        <v>17429390.383350708</v>
      </c>
      <c r="L181" s="150">
        <f t="shared" si="9"/>
        <v>10992542.67039071</v>
      </c>
    </row>
    <row r="182" spans="1:12" ht="15" x14ac:dyDescent="0.2">
      <c r="A182" s="145">
        <v>0.38</v>
      </c>
      <c r="B182" s="146">
        <f t="shared" si="2"/>
        <v>25937500</v>
      </c>
      <c r="C182" s="147">
        <f t="shared" si="3"/>
        <v>6688326.6882919893</v>
      </c>
      <c r="D182" s="149">
        <f t="shared" si="10"/>
        <v>9856250</v>
      </c>
      <c r="E182" s="147">
        <f t="shared" si="7"/>
        <v>15915076.21605199</v>
      </c>
      <c r="F182" s="150">
        <f t="shared" si="8"/>
        <v>10194491.508840803</v>
      </c>
      <c r="G182" s="145"/>
      <c r="H182" s="151">
        <f t="shared" si="4"/>
        <v>30000000</v>
      </c>
      <c r="I182" s="147">
        <f t="shared" si="5"/>
        <v>7212171.7913507083</v>
      </c>
      <c r="J182" s="149">
        <f t="shared" si="11"/>
        <v>11400000</v>
      </c>
      <c r="K182" s="149">
        <f t="shared" si="6"/>
        <v>17429390.383350708</v>
      </c>
      <c r="L182" s="150">
        <f t="shared" si="9"/>
        <v>11094714.85631071</v>
      </c>
    </row>
    <row r="183" spans="1:12" ht="15" x14ac:dyDescent="0.2">
      <c r="A183" s="145">
        <v>0.39</v>
      </c>
      <c r="B183" s="146">
        <f t="shared" si="2"/>
        <v>25937500</v>
      </c>
      <c r="C183" s="147">
        <f t="shared" si="3"/>
        <v>6688326.6882919893</v>
      </c>
      <c r="D183" s="149">
        <f t="shared" si="10"/>
        <v>10115625</v>
      </c>
      <c r="E183" s="147">
        <f t="shared" si="7"/>
        <v>15915076.21605199</v>
      </c>
      <c r="F183" s="150">
        <f t="shared" si="8"/>
        <v>10286759.004118403</v>
      </c>
      <c r="G183" s="145"/>
      <c r="H183" s="151">
        <f t="shared" si="4"/>
        <v>30000000</v>
      </c>
      <c r="I183" s="147">
        <f t="shared" si="5"/>
        <v>7212171.7913507083</v>
      </c>
      <c r="J183" s="149">
        <f t="shared" si="11"/>
        <v>11700000</v>
      </c>
      <c r="K183" s="149">
        <f t="shared" si="6"/>
        <v>17429390.383350708</v>
      </c>
      <c r="L183" s="150">
        <f t="shared" si="9"/>
        <v>11196887.04223071</v>
      </c>
    </row>
    <row r="184" spans="1:12" ht="15" x14ac:dyDescent="0.2">
      <c r="A184" s="145">
        <v>0.4</v>
      </c>
      <c r="B184" s="146">
        <f t="shared" si="2"/>
        <v>25937500</v>
      </c>
      <c r="C184" s="147">
        <f t="shared" si="3"/>
        <v>6688326.6882919893</v>
      </c>
      <c r="D184" s="149">
        <f t="shared" si="10"/>
        <v>10375000</v>
      </c>
      <c r="E184" s="147">
        <f t="shared" si="7"/>
        <v>15915076.21605199</v>
      </c>
      <c r="F184" s="150">
        <f t="shared" si="8"/>
        <v>10379026.499396004</v>
      </c>
      <c r="G184" s="145"/>
      <c r="H184" s="151">
        <f t="shared" si="4"/>
        <v>30000000</v>
      </c>
      <c r="I184" s="147">
        <f t="shared" si="5"/>
        <v>7212171.7913507083</v>
      </c>
      <c r="J184" s="149">
        <f t="shared" si="11"/>
        <v>12000000</v>
      </c>
      <c r="K184" s="149">
        <f t="shared" si="6"/>
        <v>17429390.383350708</v>
      </c>
      <c r="L184" s="150">
        <f t="shared" si="9"/>
        <v>11299059.22815071</v>
      </c>
    </row>
    <row r="185" spans="1:12" ht="15" x14ac:dyDescent="0.2">
      <c r="A185" s="145">
        <v>0.41</v>
      </c>
      <c r="B185" s="146">
        <f t="shared" si="2"/>
        <v>25937500</v>
      </c>
      <c r="C185" s="147">
        <f t="shared" si="3"/>
        <v>6688326.6882919893</v>
      </c>
      <c r="D185" s="149">
        <f t="shared" si="10"/>
        <v>10634375</v>
      </c>
      <c r="E185" s="147">
        <f t="shared" si="7"/>
        <v>15915076.21605199</v>
      </c>
      <c r="F185" s="150">
        <f t="shared" si="8"/>
        <v>10471293.994673604</v>
      </c>
      <c r="G185" s="145"/>
      <c r="H185" s="151">
        <f t="shared" si="4"/>
        <v>30000000</v>
      </c>
      <c r="I185" s="147">
        <f t="shared" si="5"/>
        <v>7212171.7913507083</v>
      </c>
      <c r="J185" s="149">
        <f t="shared" si="11"/>
        <v>12300000</v>
      </c>
      <c r="K185" s="149">
        <f t="shared" si="6"/>
        <v>17429390.383350708</v>
      </c>
      <c r="L185" s="150">
        <f t="shared" si="9"/>
        <v>11401231.414070711</v>
      </c>
    </row>
    <row r="186" spans="1:12" ht="15" x14ac:dyDescent="0.2">
      <c r="A186" s="145">
        <v>0.42</v>
      </c>
      <c r="B186" s="146">
        <f t="shared" si="2"/>
        <v>25937500</v>
      </c>
      <c r="C186" s="147">
        <f t="shared" si="3"/>
        <v>6688326.6882919893</v>
      </c>
      <c r="D186" s="149">
        <f t="shared" si="10"/>
        <v>10893750</v>
      </c>
      <c r="E186" s="147">
        <f t="shared" si="7"/>
        <v>15915076.21605199</v>
      </c>
      <c r="F186" s="150">
        <f t="shared" si="8"/>
        <v>10563561.489951205</v>
      </c>
      <c r="G186" s="145"/>
      <c r="H186" s="151">
        <f t="shared" si="4"/>
        <v>30000000</v>
      </c>
      <c r="I186" s="147">
        <f t="shared" si="5"/>
        <v>7212171.7913507083</v>
      </c>
      <c r="J186" s="149">
        <f t="shared" si="11"/>
        <v>12600000</v>
      </c>
      <c r="K186" s="149">
        <f t="shared" si="6"/>
        <v>17429390.383350708</v>
      </c>
      <c r="L186" s="150">
        <f t="shared" si="9"/>
        <v>11503403.599990711</v>
      </c>
    </row>
    <row r="187" spans="1:12" ht="15" x14ac:dyDescent="0.2">
      <c r="A187" s="145">
        <v>0.43</v>
      </c>
      <c r="B187" s="146">
        <f t="shared" si="2"/>
        <v>25937500</v>
      </c>
      <c r="C187" s="147">
        <f t="shared" si="3"/>
        <v>6688326.6882919893</v>
      </c>
      <c r="D187" s="149">
        <f t="shared" si="10"/>
        <v>11153125</v>
      </c>
      <c r="E187" s="147">
        <f t="shared" si="7"/>
        <v>15915076.21605199</v>
      </c>
      <c r="F187" s="150">
        <f t="shared" si="8"/>
        <v>10655828.985228805</v>
      </c>
      <c r="G187" s="145"/>
      <c r="H187" s="151">
        <f t="shared" si="4"/>
        <v>30000000</v>
      </c>
      <c r="I187" s="147">
        <f t="shared" si="5"/>
        <v>7212171.7913507083</v>
      </c>
      <c r="J187" s="149">
        <f t="shared" si="11"/>
        <v>12900000</v>
      </c>
      <c r="K187" s="149">
        <f t="shared" si="6"/>
        <v>17429390.383350708</v>
      </c>
      <c r="L187" s="150">
        <f t="shared" si="9"/>
        <v>11605575.785910711</v>
      </c>
    </row>
    <row r="188" spans="1:12" ht="15" x14ac:dyDescent="0.2">
      <c r="A188" s="145">
        <v>0.44</v>
      </c>
      <c r="B188" s="146">
        <f t="shared" si="2"/>
        <v>25937500</v>
      </c>
      <c r="C188" s="147">
        <f t="shared" si="3"/>
        <v>6688326.6882919893</v>
      </c>
      <c r="D188" s="149">
        <f t="shared" si="10"/>
        <v>11412500</v>
      </c>
      <c r="E188" s="147">
        <f t="shared" si="7"/>
        <v>15915076.21605199</v>
      </c>
      <c r="F188" s="150">
        <f t="shared" si="8"/>
        <v>10748096.480506405</v>
      </c>
      <c r="G188" s="145"/>
      <c r="H188" s="151">
        <f t="shared" si="4"/>
        <v>30000000</v>
      </c>
      <c r="I188" s="147">
        <f t="shared" si="5"/>
        <v>7212171.7913507083</v>
      </c>
      <c r="J188" s="149">
        <f t="shared" si="11"/>
        <v>13200000</v>
      </c>
      <c r="K188" s="149">
        <f t="shared" si="6"/>
        <v>17429390.383350708</v>
      </c>
      <c r="L188" s="150">
        <f t="shared" si="9"/>
        <v>11707747.971830711</v>
      </c>
    </row>
    <row r="189" spans="1:12" ht="15" x14ac:dyDescent="0.2">
      <c r="A189" s="145">
        <v>0.45</v>
      </c>
      <c r="B189" s="146">
        <f t="shared" si="2"/>
        <v>25937500</v>
      </c>
      <c r="C189" s="147">
        <f t="shared" si="3"/>
        <v>6688326.6882919893</v>
      </c>
      <c r="D189" s="149">
        <f t="shared" si="10"/>
        <v>11671875</v>
      </c>
      <c r="E189" s="147">
        <f t="shared" si="7"/>
        <v>15915076.21605199</v>
      </c>
      <c r="F189" s="150">
        <f t="shared" si="8"/>
        <v>10840363.975784006</v>
      </c>
      <c r="G189" s="145"/>
      <c r="H189" s="151">
        <f t="shared" si="4"/>
        <v>30000000</v>
      </c>
      <c r="I189" s="147">
        <f t="shared" si="5"/>
        <v>7212171.7913507083</v>
      </c>
      <c r="J189" s="149">
        <f t="shared" si="11"/>
        <v>13500000</v>
      </c>
      <c r="K189" s="149">
        <f t="shared" si="6"/>
        <v>17429390.383350708</v>
      </c>
      <c r="L189" s="150">
        <f t="shared" si="9"/>
        <v>11809920.157750711</v>
      </c>
    </row>
    <row r="190" spans="1:12" ht="15" x14ac:dyDescent="0.2">
      <c r="A190" s="145">
        <v>0.46</v>
      </c>
      <c r="B190" s="146">
        <f t="shared" si="2"/>
        <v>25937500</v>
      </c>
      <c r="C190" s="147">
        <f t="shared" si="3"/>
        <v>6688326.6882919893</v>
      </c>
      <c r="D190" s="149">
        <f t="shared" si="10"/>
        <v>11931250</v>
      </c>
      <c r="E190" s="147">
        <f t="shared" si="7"/>
        <v>15915076.21605199</v>
      </c>
      <c r="F190" s="150">
        <f t="shared" si="8"/>
        <v>10932631.471061606</v>
      </c>
      <c r="G190" s="145"/>
      <c r="H190" s="151">
        <f t="shared" si="4"/>
        <v>30000000</v>
      </c>
      <c r="I190" s="147">
        <f t="shared" si="5"/>
        <v>7212171.7913507083</v>
      </c>
      <c r="J190" s="149">
        <f t="shared" si="11"/>
        <v>13800000</v>
      </c>
      <c r="K190" s="149">
        <f t="shared" si="6"/>
        <v>17429390.383350708</v>
      </c>
      <c r="L190" s="150">
        <f t="shared" si="9"/>
        <v>11912092.343670711</v>
      </c>
    </row>
    <row r="191" spans="1:12" ht="15" x14ac:dyDescent="0.2">
      <c r="A191" s="145">
        <v>0.47</v>
      </c>
      <c r="B191" s="146">
        <f t="shared" si="2"/>
        <v>25937500</v>
      </c>
      <c r="C191" s="147">
        <f t="shared" si="3"/>
        <v>6688326.6882919893</v>
      </c>
      <c r="D191" s="149">
        <f t="shared" si="10"/>
        <v>12190625</v>
      </c>
      <c r="E191" s="147">
        <f t="shared" si="7"/>
        <v>15915076.21605199</v>
      </c>
      <c r="F191" s="150">
        <f t="shared" si="8"/>
        <v>11024898.966339206</v>
      </c>
      <c r="G191" s="145"/>
      <c r="H191" s="151">
        <f t="shared" si="4"/>
        <v>30000000</v>
      </c>
      <c r="I191" s="147">
        <f t="shared" si="5"/>
        <v>7212171.7913507083</v>
      </c>
      <c r="J191" s="149">
        <f t="shared" si="11"/>
        <v>14100000</v>
      </c>
      <c r="K191" s="149">
        <f t="shared" si="6"/>
        <v>17429390.383350708</v>
      </c>
      <c r="L191" s="150">
        <f t="shared" si="9"/>
        <v>12014264.529590711</v>
      </c>
    </row>
    <row r="192" spans="1:12" ht="15" x14ac:dyDescent="0.2">
      <c r="A192" s="145">
        <v>0.48</v>
      </c>
      <c r="B192" s="146">
        <f t="shared" si="2"/>
        <v>25937500</v>
      </c>
      <c r="C192" s="147">
        <f t="shared" si="3"/>
        <v>6688326.6882919893</v>
      </c>
      <c r="D192" s="149">
        <f t="shared" si="10"/>
        <v>12450000</v>
      </c>
      <c r="E192" s="147">
        <f t="shared" si="7"/>
        <v>15915076.21605199</v>
      </c>
      <c r="F192" s="150">
        <f t="shared" si="8"/>
        <v>11117166.461616807</v>
      </c>
      <c r="G192" s="145"/>
      <c r="H192" s="151">
        <f t="shared" si="4"/>
        <v>30000000</v>
      </c>
      <c r="I192" s="147">
        <f t="shared" si="5"/>
        <v>7212171.7913507083</v>
      </c>
      <c r="J192" s="149">
        <f t="shared" si="11"/>
        <v>14400000</v>
      </c>
      <c r="K192" s="149">
        <f t="shared" si="6"/>
        <v>17429390.383350708</v>
      </c>
      <c r="L192" s="150">
        <f t="shared" si="9"/>
        <v>12116436.715510711</v>
      </c>
    </row>
    <row r="193" spans="1:12" ht="15" x14ac:dyDescent="0.2">
      <c r="A193" s="145">
        <v>0.49</v>
      </c>
      <c r="B193" s="146">
        <f t="shared" si="2"/>
        <v>25937500</v>
      </c>
      <c r="C193" s="147">
        <f t="shared" si="3"/>
        <v>6688326.6882919893</v>
      </c>
      <c r="D193" s="149">
        <f t="shared" si="10"/>
        <v>12709375</v>
      </c>
      <c r="E193" s="147">
        <f t="shared" si="7"/>
        <v>15915076.21605199</v>
      </c>
      <c r="F193" s="150">
        <f>F192+$I$140</f>
        <v>11209433.956894407</v>
      </c>
      <c r="G193" s="145"/>
      <c r="H193" s="151">
        <f t="shared" si="4"/>
        <v>30000000</v>
      </c>
      <c r="I193" s="147">
        <f t="shared" si="5"/>
        <v>7212171.7913507083</v>
      </c>
      <c r="J193" s="149">
        <f t="shared" si="11"/>
        <v>14700000</v>
      </c>
      <c r="K193" s="149">
        <f t="shared" si="6"/>
        <v>17429390.383350708</v>
      </c>
      <c r="L193" s="150">
        <f t="shared" si="9"/>
        <v>12218608.901430711</v>
      </c>
    </row>
    <row r="194" spans="1:12" ht="15" x14ac:dyDescent="0.2">
      <c r="A194" s="145">
        <v>0.5</v>
      </c>
      <c r="B194" s="146">
        <f t="shared" si="2"/>
        <v>25937500</v>
      </c>
      <c r="C194" s="147">
        <f t="shared" si="3"/>
        <v>6688326.6882919893</v>
      </c>
      <c r="D194" s="149">
        <f t="shared" si="10"/>
        <v>12968750</v>
      </c>
      <c r="E194" s="147">
        <f t="shared" si="7"/>
        <v>15915076.21605199</v>
      </c>
      <c r="F194" s="150">
        <f t="shared" si="8"/>
        <v>11301701.452172007</v>
      </c>
      <c r="G194" s="145"/>
      <c r="H194" s="151">
        <f t="shared" si="4"/>
        <v>30000000</v>
      </c>
      <c r="I194" s="147">
        <f t="shared" si="5"/>
        <v>7212171.7913507083</v>
      </c>
      <c r="J194" s="149">
        <f t="shared" si="11"/>
        <v>15000000</v>
      </c>
      <c r="K194" s="149">
        <f t="shared" si="6"/>
        <v>17429390.383350708</v>
      </c>
      <c r="L194" s="150">
        <f t="shared" si="9"/>
        <v>12320781.087350711</v>
      </c>
    </row>
    <row r="195" spans="1:12" ht="15" x14ac:dyDescent="0.2">
      <c r="A195" s="145">
        <v>0.51</v>
      </c>
      <c r="B195" s="146">
        <f t="shared" si="2"/>
        <v>25937500</v>
      </c>
      <c r="C195" s="147">
        <f t="shared" si="3"/>
        <v>6688326.6882919893</v>
      </c>
      <c r="D195" s="149">
        <f t="shared" si="10"/>
        <v>13228125</v>
      </c>
      <c r="E195" s="147">
        <f t="shared" si="7"/>
        <v>15915076.21605199</v>
      </c>
      <c r="F195" s="150">
        <f t="shared" si="8"/>
        <v>11393968.947449608</v>
      </c>
      <c r="G195" s="145"/>
      <c r="H195" s="151">
        <f t="shared" si="4"/>
        <v>30000000</v>
      </c>
      <c r="I195" s="147">
        <f t="shared" si="5"/>
        <v>7212171.7913507083</v>
      </c>
      <c r="J195" s="149">
        <f t="shared" si="11"/>
        <v>15300000</v>
      </c>
      <c r="K195" s="149">
        <f t="shared" si="6"/>
        <v>17429390.383350708</v>
      </c>
      <c r="L195" s="150">
        <f t="shared" si="9"/>
        <v>12422953.273270711</v>
      </c>
    </row>
    <row r="196" spans="1:12" ht="15" x14ac:dyDescent="0.2">
      <c r="A196" s="145">
        <v>0.52</v>
      </c>
      <c r="B196" s="146">
        <f t="shared" si="2"/>
        <v>25937500</v>
      </c>
      <c r="C196" s="147">
        <f t="shared" si="3"/>
        <v>6688326.6882919893</v>
      </c>
      <c r="D196" s="149">
        <f t="shared" si="10"/>
        <v>13487500</v>
      </c>
      <c r="E196" s="147">
        <f t="shared" si="7"/>
        <v>15915076.21605199</v>
      </c>
      <c r="F196" s="150">
        <f t="shared" si="8"/>
        <v>11486236.442727208</v>
      </c>
      <c r="G196" s="145"/>
      <c r="H196" s="151">
        <f t="shared" si="4"/>
        <v>30000000</v>
      </c>
      <c r="I196" s="147">
        <f t="shared" si="5"/>
        <v>7212171.7913507083</v>
      </c>
      <c r="J196" s="149">
        <f t="shared" si="11"/>
        <v>15600000</v>
      </c>
      <c r="K196" s="149">
        <f t="shared" si="6"/>
        <v>17429390.383350708</v>
      </c>
      <c r="L196" s="150">
        <f t="shared" si="9"/>
        <v>12525125.459190711</v>
      </c>
    </row>
    <row r="197" spans="1:12" ht="15" x14ac:dyDescent="0.2">
      <c r="A197" s="145">
        <v>0.53</v>
      </c>
      <c r="B197" s="146">
        <f t="shared" si="2"/>
        <v>25937500</v>
      </c>
      <c r="C197" s="147">
        <f t="shared" si="3"/>
        <v>6688326.6882919893</v>
      </c>
      <c r="D197" s="149">
        <f t="shared" si="10"/>
        <v>13746875</v>
      </c>
      <c r="E197" s="147">
        <f t="shared" si="7"/>
        <v>15915076.21605199</v>
      </c>
      <c r="F197" s="150">
        <f t="shared" si="8"/>
        <v>11578503.938004809</v>
      </c>
      <c r="G197" s="145"/>
      <c r="H197" s="151">
        <f t="shared" si="4"/>
        <v>30000000</v>
      </c>
      <c r="I197" s="147">
        <f t="shared" si="5"/>
        <v>7212171.7913507083</v>
      </c>
      <c r="J197" s="149">
        <f t="shared" si="11"/>
        <v>15900000</v>
      </c>
      <c r="K197" s="149">
        <f t="shared" si="6"/>
        <v>17429390.383350708</v>
      </c>
      <c r="L197" s="150">
        <f t="shared" si="9"/>
        <v>12627297.645110711</v>
      </c>
    </row>
    <row r="198" spans="1:12" ht="15" x14ac:dyDescent="0.2">
      <c r="A198" s="145">
        <v>0.54</v>
      </c>
      <c r="B198" s="146">
        <f t="shared" si="2"/>
        <v>25937500</v>
      </c>
      <c r="C198" s="147">
        <f t="shared" si="3"/>
        <v>6688326.6882919893</v>
      </c>
      <c r="D198" s="149">
        <f t="shared" si="10"/>
        <v>14006250</v>
      </c>
      <c r="E198" s="147">
        <f t="shared" si="7"/>
        <v>15915076.21605199</v>
      </c>
      <c r="F198" s="150">
        <f t="shared" si="8"/>
        <v>11670771.433282409</v>
      </c>
      <c r="G198" s="145"/>
      <c r="H198" s="151">
        <f t="shared" si="4"/>
        <v>30000000</v>
      </c>
      <c r="I198" s="147">
        <f t="shared" si="5"/>
        <v>7212171.7913507083</v>
      </c>
      <c r="J198" s="149">
        <f t="shared" si="11"/>
        <v>16200000</v>
      </c>
      <c r="K198" s="149">
        <f t="shared" si="6"/>
        <v>17429390.383350708</v>
      </c>
      <c r="L198" s="150">
        <f t="shared" si="9"/>
        <v>12729469.831030712</v>
      </c>
    </row>
    <row r="199" spans="1:12" ht="15" x14ac:dyDescent="0.2">
      <c r="A199" s="145">
        <v>0.55000000000000004</v>
      </c>
      <c r="B199" s="146">
        <f t="shared" si="2"/>
        <v>25937500</v>
      </c>
      <c r="C199" s="147">
        <f t="shared" si="3"/>
        <v>6688326.6882919893</v>
      </c>
      <c r="D199" s="149">
        <f t="shared" si="10"/>
        <v>14265625</v>
      </c>
      <c r="E199" s="147">
        <f t="shared" si="7"/>
        <v>15915076.21605199</v>
      </c>
      <c r="F199" s="150">
        <f t="shared" si="8"/>
        <v>11763038.928560009</v>
      </c>
      <c r="G199" s="145"/>
      <c r="H199" s="151">
        <f t="shared" si="4"/>
        <v>30000000</v>
      </c>
      <c r="I199" s="147">
        <f t="shared" si="5"/>
        <v>7212171.7913507083</v>
      </c>
      <c r="J199" s="149">
        <f t="shared" si="11"/>
        <v>16500000</v>
      </c>
      <c r="K199" s="149">
        <f t="shared" si="6"/>
        <v>17429390.383350708</v>
      </c>
      <c r="L199" s="150">
        <f t="shared" si="9"/>
        <v>12831642.016950712</v>
      </c>
    </row>
    <row r="200" spans="1:12" ht="15" x14ac:dyDescent="0.2">
      <c r="A200" s="145">
        <v>0.56000000000000005</v>
      </c>
      <c r="B200" s="146">
        <f t="shared" si="2"/>
        <v>25937500</v>
      </c>
      <c r="C200" s="147">
        <f t="shared" si="3"/>
        <v>6688326.6882919893</v>
      </c>
      <c r="D200" s="149">
        <f t="shared" si="10"/>
        <v>14525000</v>
      </c>
      <c r="E200" s="147">
        <f t="shared" si="7"/>
        <v>15915076.21605199</v>
      </c>
      <c r="F200" s="150">
        <f t="shared" si="8"/>
        <v>11855306.42383761</v>
      </c>
      <c r="G200" s="145"/>
      <c r="H200" s="151">
        <f t="shared" si="4"/>
        <v>30000000</v>
      </c>
      <c r="I200" s="147">
        <f t="shared" si="5"/>
        <v>7212171.7913507083</v>
      </c>
      <c r="J200" s="149">
        <f t="shared" si="11"/>
        <v>16800000</v>
      </c>
      <c r="K200" s="149">
        <f t="shared" si="6"/>
        <v>17429390.383350708</v>
      </c>
      <c r="L200" s="150">
        <f t="shared" si="9"/>
        <v>12933814.202870712</v>
      </c>
    </row>
    <row r="201" spans="1:12" ht="15" x14ac:dyDescent="0.2">
      <c r="A201" s="145">
        <v>0.56999999999999995</v>
      </c>
      <c r="B201" s="146">
        <f t="shared" si="2"/>
        <v>25937500</v>
      </c>
      <c r="C201" s="147">
        <f t="shared" si="3"/>
        <v>6688326.6882919893</v>
      </c>
      <c r="D201" s="149">
        <f t="shared" si="10"/>
        <v>14784375</v>
      </c>
      <c r="E201" s="147">
        <f t="shared" si="7"/>
        <v>15915076.21605199</v>
      </c>
      <c r="F201" s="150">
        <f t="shared" si="8"/>
        <v>11947573.91911521</v>
      </c>
      <c r="G201" s="145"/>
      <c r="H201" s="151">
        <f t="shared" si="4"/>
        <v>30000000</v>
      </c>
      <c r="I201" s="147">
        <f t="shared" si="5"/>
        <v>7212171.7913507083</v>
      </c>
      <c r="J201" s="149">
        <f t="shared" si="11"/>
        <v>17100000</v>
      </c>
      <c r="K201" s="149">
        <f t="shared" si="6"/>
        <v>17429390.383350708</v>
      </c>
      <c r="L201" s="150">
        <f t="shared" si="9"/>
        <v>13035986.388790712</v>
      </c>
    </row>
    <row r="202" spans="1:12" ht="15" x14ac:dyDescent="0.2">
      <c r="A202" s="145">
        <v>0.57999999999999996</v>
      </c>
      <c r="B202" s="146">
        <f t="shared" si="2"/>
        <v>25937500</v>
      </c>
      <c r="C202" s="147">
        <f t="shared" si="3"/>
        <v>6688326.6882919893</v>
      </c>
      <c r="D202" s="149">
        <f t="shared" si="10"/>
        <v>15043750</v>
      </c>
      <c r="E202" s="147">
        <f t="shared" si="7"/>
        <v>15915076.21605199</v>
      </c>
      <c r="F202" s="150">
        <f t="shared" si="8"/>
        <v>12039841.41439281</v>
      </c>
      <c r="G202" s="145"/>
      <c r="H202" s="151">
        <f t="shared" si="4"/>
        <v>30000000</v>
      </c>
      <c r="I202" s="147">
        <f t="shared" si="5"/>
        <v>7212171.7913507083</v>
      </c>
      <c r="J202" s="149">
        <f t="shared" si="11"/>
        <v>17400000</v>
      </c>
      <c r="K202" s="149">
        <f t="shared" si="6"/>
        <v>17429390.383350708</v>
      </c>
      <c r="L202" s="150">
        <f t="shared" si="9"/>
        <v>13138158.574710712</v>
      </c>
    </row>
    <row r="203" spans="1:12" ht="15" x14ac:dyDescent="0.2">
      <c r="A203" s="145">
        <v>0.59</v>
      </c>
      <c r="B203" s="146">
        <f t="shared" si="2"/>
        <v>25937500</v>
      </c>
      <c r="C203" s="147">
        <f t="shared" si="3"/>
        <v>6688326.6882919893</v>
      </c>
      <c r="D203" s="149">
        <f t="shared" si="10"/>
        <v>15303125</v>
      </c>
      <c r="E203" s="147">
        <f t="shared" si="7"/>
        <v>15915076.21605199</v>
      </c>
      <c r="F203" s="150">
        <f t="shared" si="8"/>
        <v>12132108.909670411</v>
      </c>
      <c r="G203" s="145"/>
      <c r="H203" s="151">
        <f t="shared" si="4"/>
        <v>30000000</v>
      </c>
      <c r="I203" s="147">
        <f t="shared" si="5"/>
        <v>7212171.7913507083</v>
      </c>
      <c r="J203" s="149">
        <f t="shared" si="11"/>
        <v>17700000</v>
      </c>
      <c r="K203" s="149">
        <f t="shared" si="6"/>
        <v>17429390.383350708</v>
      </c>
      <c r="L203" s="150">
        <f t="shared" si="9"/>
        <v>13240330.760630712</v>
      </c>
    </row>
    <row r="204" spans="1:12" ht="15" x14ac:dyDescent="0.2">
      <c r="A204" s="145">
        <v>0.6</v>
      </c>
      <c r="B204" s="146">
        <f t="shared" si="2"/>
        <v>25937500</v>
      </c>
      <c r="C204" s="147">
        <f t="shared" si="3"/>
        <v>6688326.6882919893</v>
      </c>
      <c r="D204" s="149">
        <f t="shared" si="10"/>
        <v>15562500</v>
      </c>
      <c r="E204" s="147">
        <f t="shared" si="7"/>
        <v>15915076.21605199</v>
      </c>
      <c r="F204" s="150">
        <f t="shared" si="8"/>
        <v>12224376.404948011</v>
      </c>
      <c r="G204" s="145"/>
      <c r="H204" s="151">
        <f t="shared" si="4"/>
        <v>30000000</v>
      </c>
      <c r="I204" s="147">
        <f t="shared" si="5"/>
        <v>7212171.7913507083</v>
      </c>
      <c r="J204" s="149">
        <f t="shared" si="11"/>
        <v>18000000</v>
      </c>
      <c r="K204" s="149">
        <f t="shared" si="6"/>
        <v>17429390.383350708</v>
      </c>
      <c r="L204" s="150">
        <f t="shared" si="9"/>
        <v>13342502.946550712</v>
      </c>
    </row>
    <row r="205" spans="1:12" ht="15" x14ac:dyDescent="0.2">
      <c r="A205" s="145">
        <v>0.61</v>
      </c>
      <c r="B205" s="146">
        <f t="shared" si="2"/>
        <v>25937500</v>
      </c>
      <c r="C205" s="147">
        <f t="shared" si="3"/>
        <v>6688326.6882919893</v>
      </c>
      <c r="D205" s="149">
        <f t="shared" si="10"/>
        <v>15821875</v>
      </c>
      <c r="E205" s="147">
        <f t="shared" si="7"/>
        <v>15915076.21605199</v>
      </c>
      <c r="F205" s="150">
        <f t="shared" si="8"/>
        <v>12316643.900225611</v>
      </c>
      <c r="G205" s="145"/>
      <c r="H205" s="151">
        <f t="shared" si="4"/>
        <v>30000000</v>
      </c>
      <c r="I205" s="147">
        <f t="shared" si="5"/>
        <v>7212171.7913507083</v>
      </c>
      <c r="J205" s="149">
        <f t="shared" si="11"/>
        <v>18300000</v>
      </c>
      <c r="K205" s="149">
        <f t="shared" si="6"/>
        <v>17429390.383350708</v>
      </c>
      <c r="L205" s="150">
        <f t="shared" si="9"/>
        <v>13444675.132470712</v>
      </c>
    </row>
    <row r="206" spans="1:12" ht="15" x14ac:dyDescent="0.2">
      <c r="A206" s="145">
        <v>0.62</v>
      </c>
      <c r="B206" s="146">
        <f t="shared" si="2"/>
        <v>25937500</v>
      </c>
      <c r="C206" s="147">
        <f t="shared" si="3"/>
        <v>6688326.6882919893</v>
      </c>
      <c r="D206" s="149">
        <f t="shared" si="10"/>
        <v>16081250</v>
      </c>
      <c r="E206" s="147">
        <f t="shared" si="7"/>
        <v>15915076.21605199</v>
      </c>
      <c r="F206" s="150">
        <f t="shared" si="8"/>
        <v>12408911.395503212</v>
      </c>
      <c r="G206" s="145"/>
      <c r="H206" s="151">
        <f t="shared" si="4"/>
        <v>30000000</v>
      </c>
      <c r="I206" s="147">
        <f t="shared" si="5"/>
        <v>7212171.7913507083</v>
      </c>
      <c r="J206" s="149">
        <f t="shared" si="11"/>
        <v>18600000</v>
      </c>
      <c r="K206" s="149">
        <f t="shared" si="6"/>
        <v>17429390.383350708</v>
      </c>
      <c r="L206" s="150">
        <f t="shared" si="9"/>
        <v>13546847.318390712</v>
      </c>
    </row>
    <row r="207" spans="1:12" ht="15" x14ac:dyDescent="0.2">
      <c r="A207" s="145">
        <v>0.63</v>
      </c>
      <c r="B207" s="146">
        <f t="shared" si="2"/>
        <v>25937500</v>
      </c>
      <c r="C207" s="147">
        <f t="shared" si="3"/>
        <v>6688326.6882919893</v>
      </c>
      <c r="D207" s="149">
        <f t="shared" si="10"/>
        <v>16340625</v>
      </c>
      <c r="E207" s="147">
        <f t="shared" si="7"/>
        <v>15915076.21605199</v>
      </c>
      <c r="F207" s="150">
        <f t="shared" si="8"/>
        <v>12501178.890780812</v>
      </c>
      <c r="G207" s="145"/>
      <c r="H207" s="151">
        <f t="shared" si="4"/>
        <v>30000000</v>
      </c>
      <c r="I207" s="147">
        <f t="shared" si="5"/>
        <v>7212171.7913507083</v>
      </c>
      <c r="J207" s="149">
        <f t="shared" si="11"/>
        <v>18900000</v>
      </c>
      <c r="K207" s="149">
        <f t="shared" si="6"/>
        <v>17429390.383350708</v>
      </c>
      <c r="L207" s="150">
        <f t="shared" si="9"/>
        <v>13649019.504310712</v>
      </c>
    </row>
    <row r="208" spans="1:12" ht="15" x14ac:dyDescent="0.2">
      <c r="A208" s="145">
        <v>0.64</v>
      </c>
      <c r="B208" s="146">
        <f t="shared" si="2"/>
        <v>25937500</v>
      </c>
      <c r="C208" s="147">
        <f t="shared" si="3"/>
        <v>6688326.6882919893</v>
      </c>
      <c r="D208" s="149">
        <f t="shared" si="10"/>
        <v>16600000</v>
      </c>
      <c r="E208" s="147">
        <f t="shared" si="7"/>
        <v>15915076.21605199</v>
      </c>
      <c r="F208" s="150">
        <f t="shared" si="8"/>
        <v>12593446.386058412</v>
      </c>
      <c r="G208" s="145"/>
      <c r="H208" s="151">
        <f t="shared" si="4"/>
        <v>30000000</v>
      </c>
      <c r="I208" s="147">
        <f t="shared" si="5"/>
        <v>7212171.7913507083</v>
      </c>
      <c r="J208" s="149">
        <f t="shared" si="11"/>
        <v>19200000</v>
      </c>
      <c r="K208" s="149">
        <f t="shared" si="6"/>
        <v>17429390.383350708</v>
      </c>
      <c r="L208" s="150">
        <f t="shared" si="9"/>
        <v>13751191.690230712</v>
      </c>
    </row>
    <row r="209" spans="1:12" ht="15" x14ac:dyDescent="0.2">
      <c r="A209" s="145">
        <v>0.65</v>
      </c>
      <c r="B209" s="146">
        <f t="shared" ref="B209:B244" si="12">$B$88</f>
        <v>25937500</v>
      </c>
      <c r="C209" s="147">
        <f t="shared" ref="C209:C244" si="13">$B$140</f>
        <v>6688326.6882919893</v>
      </c>
      <c r="D209" s="149">
        <f t="shared" si="10"/>
        <v>16859375</v>
      </c>
      <c r="E209" s="147">
        <f t="shared" ref="E209:E244" si="14">$B$139+$B$140</f>
        <v>15915076.21605199</v>
      </c>
      <c r="F209" s="150">
        <f t="shared" si="8"/>
        <v>12685713.881336013</v>
      </c>
      <c r="G209" s="145"/>
      <c r="H209" s="151">
        <f t="shared" ref="H209:H244" si="15">$C$88</f>
        <v>30000000</v>
      </c>
      <c r="I209" s="147">
        <f t="shared" ref="I209:I244" si="16">$F$140</f>
        <v>7212171.7913507083</v>
      </c>
      <c r="J209" s="149">
        <f t="shared" si="11"/>
        <v>19500000</v>
      </c>
      <c r="K209" s="149">
        <f t="shared" ref="K209:K244" si="17">$F$139+$F$140</f>
        <v>17429390.383350708</v>
      </c>
      <c r="L209" s="150">
        <f t="shared" si="9"/>
        <v>13853363.876150712</v>
      </c>
    </row>
    <row r="210" spans="1:12" ht="15" x14ac:dyDescent="0.2">
      <c r="A210" s="145">
        <v>0.66</v>
      </c>
      <c r="B210" s="146">
        <f t="shared" si="12"/>
        <v>25937500</v>
      </c>
      <c r="C210" s="147">
        <f t="shared" si="13"/>
        <v>6688326.6882919893</v>
      </c>
      <c r="D210" s="149">
        <f t="shared" si="10"/>
        <v>17118750</v>
      </c>
      <c r="E210" s="147">
        <f t="shared" si="14"/>
        <v>15915076.21605199</v>
      </c>
      <c r="F210" s="150">
        <f t="shared" ref="F210:F215" si="18">F209+$I$140</f>
        <v>12777981.376613613</v>
      </c>
      <c r="G210" s="145"/>
      <c r="H210" s="151">
        <f t="shared" si="15"/>
        <v>30000000</v>
      </c>
      <c r="I210" s="147">
        <f t="shared" si="16"/>
        <v>7212171.7913507083</v>
      </c>
      <c r="J210" s="149">
        <f t="shared" si="11"/>
        <v>19800000</v>
      </c>
      <c r="K210" s="149">
        <f t="shared" si="17"/>
        <v>17429390.383350708</v>
      </c>
      <c r="L210" s="150">
        <f t="shared" ref="L210:L244" si="19">L209+$K$140</f>
        <v>13955536.062070712</v>
      </c>
    </row>
    <row r="211" spans="1:12" ht="15" x14ac:dyDescent="0.2">
      <c r="A211" s="145">
        <v>0.67</v>
      </c>
      <c r="B211" s="146">
        <f t="shared" si="12"/>
        <v>25937500</v>
      </c>
      <c r="C211" s="147">
        <f t="shared" si="13"/>
        <v>6688326.6882919893</v>
      </c>
      <c r="D211" s="149">
        <f t="shared" ref="D211:D244" si="20">D210+H$140</f>
        <v>17378125</v>
      </c>
      <c r="E211" s="147">
        <f t="shared" si="14"/>
        <v>15915076.21605199</v>
      </c>
      <c r="F211" s="150">
        <f t="shared" si="18"/>
        <v>12870248.871891214</v>
      </c>
      <c r="G211" s="145"/>
      <c r="H211" s="151">
        <f t="shared" si="15"/>
        <v>30000000</v>
      </c>
      <c r="I211" s="147">
        <f t="shared" si="16"/>
        <v>7212171.7913507083</v>
      </c>
      <c r="J211" s="149">
        <f t="shared" ref="J211:J244" si="21">J210+J$140</f>
        <v>20100000</v>
      </c>
      <c r="K211" s="149">
        <f t="shared" si="17"/>
        <v>17429390.383350708</v>
      </c>
      <c r="L211" s="150">
        <f t="shared" si="19"/>
        <v>14057708.247990713</v>
      </c>
    </row>
    <row r="212" spans="1:12" ht="15" x14ac:dyDescent="0.2">
      <c r="A212" s="145">
        <v>0.68</v>
      </c>
      <c r="B212" s="146">
        <f t="shared" si="12"/>
        <v>25937500</v>
      </c>
      <c r="C212" s="147">
        <f t="shared" si="13"/>
        <v>6688326.6882919893</v>
      </c>
      <c r="D212" s="149">
        <f t="shared" si="20"/>
        <v>17637500</v>
      </c>
      <c r="E212" s="147">
        <f t="shared" si="14"/>
        <v>15915076.21605199</v>
      </c>
      <c r="F212" s="150">
        <f t="shared" si="18"/>
        <v>12962516.367168814</v>
      </c>
      <c r="G212" s="145"/>
      <c r="H212" s="151">
        <f t="shared" si="15"/>
        <v>30000000</v>
      </c>
      <c r="I212" s="147">
        <f t="shared" si="16"/>
        <v>7212171.7913507083</v>
      </c>
      <c r="J212" s="149">
        <f t="shared" si="21"/>
        <v>20400000</v>
      </c>
      <c r="K212" s="149">
        <f t="shared" si="17"/>
        <v>17429390.383350708</v>
      </c>
      <c r="L212" s="150">
        <f t="shared" si="19"/>
        <v>14159880.433910713</v>
      </c>
    </row>
    <row r="213" spans="1:12" ht="15" x14ac:dyDescent="0.2">
      <c r="A213" s="145">
        <v>0.69</v>
      </c>
      <c r="B213" s="146">
        <f t="shared" si="12"/>
        <v>25937500</v>
      </c>
      <c r="C213" s="147">
        <f t="shared" si="13"/>
        <v>6688326.6882919893</v>
      </c>
      <c r="D213" s="149">
        <f t="shared" si="20"/>
        <v>17896875</v>
      </c>
      <c r="E213" s="147">
        <f t="shared" si="14"/>
        <v>15915076.21605199</v>
      </c>
      <c r="F213" s="150">
        <f t="shared" si="18"/>
        <v>13054783.862446414</v>
      </c>
      <c r="G213" s="145"/>
      <c r="H213" s="151">
        <f t="shared" si="15"/>
        <v>30000000</v>
      </c>
      <c r="I213" s="147">
        <f t="shared" si="16"/>
        <v>7212171.7913507083</v>
      </c>
      <c r="J213" s="149">
        <f t="shared" si="21"/>
        <v>20700000</v>
      </c>
      <c r="K213" s="149">
        <f t="shared" si="17"/>
        <v>17429390.383350708</v>
      </c>
      <c r="L213" s="150">
        <f t="shared" si="19"/>
        <v>14262052.619830713</v>
      </c>
    </row>
    <row r="214" spans="1:12" ht="15" x14ac:dyDescent="0.2">
      <c r="A214" s="145">
        <v>0.7</v>
      </c>
      <c r="B214" s="146">
        <f t="shared" si="12"/>
        <v>25937500</v>
      </c>
      <c r="C214" s="147">
        <f t="shared" si="13"/>
        <v>6688326.6882919893</v>
      </c>
      <c r="D214" s="149">
        <f t="shared" si="20"/>
        <v>18156250</v>
      </c>
      <c r="E214" s="147">
        <f t="shared" si="14"/>
        <v>15915076.21605199</v>
      </c>
      <c r="F214" s="150">
        <f t="shared" si="18"/>
        <v>13147051.357724015</v>
      </c>
      <c r="G214" s="145"/>
      <c r="H214" s="151">
        <f t="shared" si="15"/>
        <v>30000000</v>
      </c>
      <c r="I214" s="147">
        <f t="shared" si="16"/>
        <v>7212171.7913507083</v>
      </c>
      <c r="J214" s="149">
        <f t="shared" si="21"/>
        <v>21000000</v>
      </c>
      <c r="K214" s="149">
        <f t="shared" si="17"/>
        <v>17429390.383350708</v>
      </c>
      <c r="L214" s="150">
        <f t="shared" si="19"/>
        <v>14364224.805750713</v>
      </c>
    </row>
    <row r="215" spans="1:12" ht="15" x14ac:dyDescent="0.2">
      <c r="A215" s="145">
        <v>0.71</v>
      </c>
      <c r="B215" s="146">
        <f t="shared" si="12"/>
        <v>25937500</v>
      </c>
      <c r="C215" s="147">
        <f t="shared" si="13"/>
        <v>6688326.6882919893</v>
      </c>
      <c r="D215" s="149">
        <f t="shared" si="20"/>
        <v>18415625</v>
      </c>
      <c r="E215" s="147">
        <f t="shared" si="14"/>
        <v>15915076.21605199</v>
      </c>
      <c r="F215" s="150">
        <f t="shared" si="18"/>
        <v>13239318.853001615</v>
      </c>
      <c r="G215" s="145"/>
      <c r="H215" s="151">
        <f t="shared" si="15"/>
        <v>30000000</v>
      </c>
      <c r="I215" s="147">
        <f t="shared" si="16"/>
        <v>7212171.7913507083</v>
      </c>
      <c r="J215" s="149">
        <f t="shared" si="21"/>
        <v>21300000</v>
      </c>
      <c r="K215" s="149">
        <f t="shared" si="17"/>
        <v>17429390.383350708</v>
      </c>
      <c r="L215" s="150">
        <f t="shared" si="19"/>
        <v>14466396.991670713</v>
      </c>
    </row>
    <row r="216" spans="1:12" ht="15" x14ac:dyDescent="0.2">
      <c r="A216" s="145">
        <v>0.72</v>
      </c>
      <c r="B216" s="146">
        <f t="shared" si="12"/>
        <v>25937500</v>
      </c>
      <c r="C216" s="147">
        <f t="shared" si="13"/>
        <v>6688326.6882919893</v>
      </c>
      <c r="D216" s="149">
        <f t="shared" si="20"/>
        <v>18675000</v>
      </c>
      <c r="E216" s="147">
        <f t="shared" si="14"/>
        <v>15915076.21605199</v>
      </c>
      <c r="F216" s="150">
        <f>F215+$I$140</f>
        <v>13331586.348279215</v>
      </c>
      <c r="G216" s="145"/>
      <c r="H216" s="151">
        <f t="shared" si="15"/>
        <v>30000000</v>
      </c>
      <c r="I216" s="147">
        <f t="shared" si="16"/>
        <v>7212171.7913507083</v>
      </c>
      <c r="J216" s="149">
        <f t="shared" si="21"/>
        <v>21600000</v>
      </c>
      <c r="K216" s="149">
        <f t="shared" si="17"/>
        <v>17429390.383350708</v>
      </c>
      <c r="L216" s="150">
        <f t="shared" si="19"/>
        <v>14568569.177590713</v>
      </c>
    </row>
    <row r="217" spans="1:12" ht="15" x14ac:dyDescent="0.2">
      <c r="A217" s="145">
        <v>0.73</v>
      </c>
      <c r="B217" s="146">
        <f t="shared" si="12"/>
        <v>25937500</v>
      </c>
      <c r="C217" s="147">
        <f t="shared" si="13"/>
        <v>6688326.6882919893</v>
      </c>
      <c r="D217" s="149">
        <f t="shared" si="20"/>
        <v>18934375</v>
      </c>
      <c r="E217" s="147">
        <f t="shared" si="14"/>
        <v>15915076.21605199</v>
      </c>
      <c r="F217" s="150">
        <f t="shared" ref="F217:F240" si="22">F216+$I$140</f>
        <v>13423853.843556816</v>
      </c>
      <c r="G217" s="145"/>
      <c r="H217" s="151">
        <f t="shared" si="15"/>
        <v>30000000</v>
      </c>
      <c r="I217" s="147">
        <f t="shared" si="16"/>
        <v>7212171.7913507083</v>
      </c>
      <c r="J217" s="149">
        <f t="shared" si="21"/>
        <v>21900000</v>
      </c>
      <c r="K217" s="149">
        <f t="shared" si="17"/>
        <v>17429390.383350708</v>
      </c>
      <c r="L217" s="150">
        <f t="shared" si="19"/>
        <v>14670741.363510713</v>
      </c>
    </row>
    <row r="218" spans="1:12" ht="15" x14ac:dyDescent="0.2">
      <c r="A218" s="145">
        <v>0.74</v>
      </c>
      <c r="B218" s="146">
        <f t="shared" si="12"/>
        <v>25937500</v>
      </c>
      <c r="C218" s="147">
        <f t="shared" si="13"/>
        <v>6688326.6882919893</v>
      </c>
      <c r="D218" s="149">
        <f t="shared" si="20"/>
        <v>19193750</v>
      </c>
      <c r="E218" s="147">
        <f t="shared" si="14"/>
        <v>15915076.21605199</v>
      </c>
      <c r="F218" s="150">
        <f t="shared" si="22"/>
        <v>13516121.338834416</v>
      </c>
      <c r="G218" s="145"/>
      <c r="H218" s="151">
        <f t="shared" si="15"/>
        <v>30000000</v>
      </c>
      <c r="I218" s="147">
        <f t="shared" si="16"/>
        <v>7212171.7913507083</v>
      </c>
      <c r="J218" s="149">
        <f t="shared" si="21"/>
        <v>22200000</v>
      </c>
      <c r="K218" s="149">
        <f t="shared" si="17"/>
        <v>17429390.383350708</v>
      </c>
      <c r="L218" s="150">
        <f t="shared" si="19"/>
        <v>14772913.549430713</v>
      </c>
    </row>
    <row r="219" spans="1:12" ht="15" x14ac:dyDescent="0.2">
      <c r="A219" s="145">
        <v>0.75</v>
      </c>
      <c r="B219" s="146">
        <f t="shared" si="12"/>
        <v>25937500</v>
      </c>
      <c r="C219" s="147">
        <f t="shared" si="13"/>
        <v>6688326.6882919893</v>
      </c>
      <c r="D219" s="149">
        <f t="shared" si="20"/>
        <v>19453125</v>
      </c>
      <c r="E219" s="147">
        <f t="shared" si="14"/>
        <v>15915076.21605199</v>
      </c>
      <c r="F219" s="150">
        <f t="shared" si="22"/>
        <v>13608388.834112016</v>
      </c>
      <c r="G219" s="145"/>
      <c r="H219" s="151">
        <f t="shared" si="15"/>
        <v>30000000</v>
      </c>
      <c r="I219" s="147">
        <f t="shared" si="16"/>
        <v>7212171.7913507083</v>
      </c>
      <c r="J219" s="149">
        <f t="shared" si="21"/>
        <v>22500000</v>
      </c>
      <c r="K219" s="149">
        <f t="shared" si="17"/>
        <v>17429390.383350708</v>
      </c>
      <c r="L219" s="150">
        <f t="shared" si="19"/>
        <v>14875085.735350713</v>
      </c>
    </row>
    <row r="220" spans="1:12" ht="15" x14ac:dyDescent="0.2">
      <c r="A220" s="145">
        <v>0.76</v>
      </c>
      <c r="B220" s="146">
        <f t="shared" si="12"/>
        <v>25937500</v>
      </c>
      <c r="C220" s="147">
        <f t="shared" si="13"/>
        <v>6688326.6882919893</v>
      </c>
      <c r="D220" s="149">
        <f t="shared" si="20"/>
        <v>19712500</v>
      </c>
      <c r="E220" s="147">
        <f t="shared" si="14"/>
        <v>15915076.21605199</v>
      </c>
      <c r="F220" s="150">
        <f t="shared" si="22"/>
        <v>13700656.329389617</v>
      </c>
      <c r="G220" s="145"/>
      <c r="H220" s="151">
        <f t="shared" si="15"/>
        <v>30000000</v>
      </c>
      <c r="I220" s="147">
        <f t="shared" si="16"/>
        <v>7212171.7913507083</v>
      </c>
      <c r="J220" s="149">
        <f t="shared" si="21"/>
        <v>22800000</v>
      </c>
      <c r="K220" s="149">
        <f t="shared" si="17"/>
        <v>17429390.383350708</v>
      </c>
      <c r="L220" s="150">
        <f t="shared" si="19"/>
        <v>14977257.921270713</v>
      </c>
    </row>
    <row r="221" spans="1:12" ht="15" x14ac:dyDescent="0.2">
      <c r="A221" s="145">
        <v>0.77</v>
      </c>
      <c r="B221" s="146">
        <f t="shared" si="12"/>
        <v>25937500</v>
      </c>
      <c r="C221" s="147">
        <f t="shared" si="13"/>
        <v>6688326.6882919893</v>
      </c>
      <c r="D221" s="149">
        <f t="shared" si="20"/>
        <v>19971875</v>
      </c>
      <c r="E221" s="147">
        <f t="shared" si="14"/>
        <v>15915076.21605199</v>
      </c>
      <c r="F221" s="150">
        <f t="shared" si="22"/>
        <v>13792923.824667217</v>
      </c>
      <c r="G221" s="145"/>
      <c r="H221" s="151">
        <f t="shared" si="15"/>
        <v>30000000</v>
      </c>
      <c r="I221" s="147">
        <f t="shared" si="16"/>
        <v>7212171.7913507083</v>
      </c>
      <c r="J221" s="149">
        <f t="shared" si="21"/>
        <v>23100000</v>
      </c>
      <c r="K221" s="149">
        <f t="shared" si="17"/>
        <v>17429390.383350708</v>
      </c>
      <c r="L221" s="150">
        <f t="shared" si="19"/>
        <v>15079430.107190713</v>
      </c>
    </row>
    <row r="222" spans="1:12" ht="15" x14ac:dyDescent="0.2">
      <c r="A222" s="145">
        <v>0.78</v>
      </c>
      <c r="B222" s="146">
        <f t="shared" si="12"/>
        <v>25937500</v>
      </c>
      <c r="C222" s="147">
        <f t="shared" si="13"/>
        <v>6688326.6882919893</v>
      </c>
      <c r="D222" s="149">
        <f t="shared" si="20"/>
        <v>20231250</v>
      </c>
      <c r="E222" s="147">
        <f t="shared" si="14"/>
        <v>15915076.21605199</v>
      </c>
      <c r="F222" s="150">
        <f t="shared" si="22"/>
        <v>13885191.319944818</v>
      </c>
      <c r="G222" s="145"/>
      <c r="H222" s="151">
        <f t="shared" si="15"/>
        <v>30000000</v>
      </c>
      <c r="I222" s="147">
        <f t="shared" si="16"/>
        <v>7212171.7913507083</v>
      </c>
      <c r="J222" s="149">
        <f t="shared" si="21"/>
        <v>23400000</v>
      </c>
      <c r="K222" s="149">
        <f t="shared" si="17"/>
        <v>17429390.383350708</v>
      </c>
      <c r="L222" s="150">
        <f t="shared" si="19"/>
        <v>15181602.293110713</v>
      </c>
    </row>
    <row r="223" spans="1:12" ht="15" x14ac:dyDescent="0.2">
      <c r="A223" s="145">
        <v>0.79</v>
      </c>
      <c r="B223" s="146">
        <f t="shared" si="12"/>
        <v>25937500</v>
      </c>
      <c r="C223" s="147">
        <f t="shared" si="13"/>
        <v>6688326.6882919893</v>
      </c>
      <c r="D223" s="149">
        <f t="shared" si="20"/>
        <v>20490625</v>
      </c>
      <c r="E223" s="147">
        <f t="shared" si="14"/>
        <v>15915076.21605199</v>
      </c>
      <c r="F223" s="150">
        <f t="shared" si="22"/>
        <v>13977458.815222418</v>
      </c>
      <c r="G223" s="145"/>
      <c r="H223" s="151">
        <f t="shared" si="15"/>
        <v>30000000</v>
      </c>
      <c r="I223" s="147">
        <f t="shared" si="16"/>
        <v>7212171.7913507083</v>
      </c>
      <c r="J223" s="149">
        <f t="shared" si="21"/>
        <v>23700000</v>
      </c>
      <c r="K223" s="149">
        <f t="shared" si="17"/>
        <v>17429390.383350708</v>
      </c>
      <c r="L223" s="150">
        <f t="shared" si="19"/>
        <v>15283774.479030713</v>
      </c>
    </row>
    <row r="224" spans="1:12" ht="15" x14ac:dyDescent="0.2">
      <c r="A224" s="145">
        <v>0.8</v>
      </c>
      <c r="B224" s="146">
        <f t="shared" si="12"/>
        <v>25937500</v>
      </c>
      <c r="C224" s="147">
        <f t="shared" si="13"/>
        <v>6688326.6882919893</v>
      </c>
      <c r="D224" s="149">
        <f t="shared" si="20"/>
        <v>20750000</v>
      </c>
      <c r="E224" s="147">
        <f t="shared" si="14"/>
        <v>15915076.21605199</v>
      </c>
      <c r="F224" s="150">
        <f t="shared" si="22"/>
        <v>14069726.310500018</v>
      </c>
      <c r="G224" s="145"/>
      <c r="H224" s="151">
        <f t="shared" si="15"/>
        <v>30000000</v>
      </c>
      <c r="I224" s="147">
        <f t="shared" si="16"/>
        <v>7212171.7913507083</v>
      </c>
      <c r="J224" s="149">
        <f t="shared" si="21"/>
        <v>24000000</v>
      </c>
      <c r="K224" s="149">
        <f t="shared" si="17"/>
        <v>17429390.383350708</v>
      </c>
      <c r="L224" s="150">
        <f t="shared" si="19"/>
        <v>15385946.664950714</v>
      </c>
    </row>
    <row r="225" spans="1:12" ht="15" x14ac:dyDescent="0.2">
      <c r="A225" s="145">
        <v>0.81</v>
      </c>
      <c r="B225" s="146">
        <f t="shared" si="12"/>
        <v>25937500</v>
      </c>
      <c r="C225" s="147">
        <f t="shared" si="13"/>
        <v>6688326.6882919893</v>
      </c>
      <c r="D225" s="149">
        <f t="shared" si="20"/>
        <v>21009375</v>
      </c>
      <c r="E225" s="147">
        <f t="shared" si="14"/>
        <v>15915076.21605199</v>
      </c>
      <c r="F225" s="150">
        <f t="shared" si="22"/>
        <v>14161993.805777619</v>
      </c>
      <c r="G225" s="145"/>
      <c r="H225" s="151">
        <f t="shared" si="15"/>
        <v>30000000</v>
      </c>
      <c r="I225" s="147">
        <f t="shared" si="16"/>
        <v>7212171.7913507083</v>
      </c>
      <c r="J225" s="149">
        <f t="shared" si="21"/>
        <v>24300000</v>
      </c>
      <c r="K225" s="149">
        <f t="shared" si="17"/>
        <v>17429390.383350708</v>
      </c>
      <c r="L225" s="150">
        <f t="shared" si="19"/>
        <v>15488118.850870714</v>
      </c>
    </row>
    <row r="226" spans="1:12" ht="15" x14ac:dyDescent="0.2">
      <c r="A226" s="145">
        <v>0.82</v>
      </c>
      <c r="B226" s="146">
        <f t="shared" si="12"/>
        <v>25937500</v>
      </c>
      <c r="C226" s="147">
        <f t="shared" si="13"/>
        <v>6688326.6882919893</v>
      </c>
      <c r="D226" s="149">
        <f t="shared" si="20"/>
        <v>21268750</v>
      </c>
      <c r="E226" s="147">
        <f t="shared" si="14"/>
        <v>15915076.21605199</v>
      </c>
      <c r="F226" s="150">
        <f t="shared" si="22"/>
        <v>14254261.301055219</v>
      </c>
      <c r="G226" s="145"/>
      <c r="H226" s="151">
        <f t="shared" si="15"/>
        <v>30000000</v>
      </c>
      <c r="I226" s="147">
        <f t="shared" si="16"/>
        <v>7212171.7913507083</v>
      </c>
      <c r="J226" s="149">
        <f t="shared" si="21"/>
        <v>24600000</v>
      </c>
      <c r="K226" s="149">
        <f t="shared" si="17"/>
        <v>17429390.383350708</v>
      </c>
      <c r="L226" s="150">
        <f t="shared" si="19"/>
        <v>15590291.036790714</v>
      </c>
    </row>
    <row r="227" spans="1:12" ht="15" x14ac:dyDescent="0.2">
      <c r="A227" s="145">
        <v>0.83</v>
      </c>
      <c r="B227" s="146">
        <f t="shared" si="12"/>
        <v>25937500</v>
      </c>
      <c r="C227" s="147">
        <f t="shared" si="13"/>
        <v>6688326.6882919893</v>
      </c>
      <c r="D227" s="149">
        <f t="shared" si="20"/>
        <v>21528125</v>
      </c>
      <c r="E227" s="147">
        <f t="shared" si="14"/>
        <v>15915076.21605199</v>
      </c>
      <c r="F227" s="150">
        <f t="shared" si="22"/>
        <v>14346528.796332819</v>
      </c>
      <c r="G227" s="145"/>
      <c r="H227" s="151">
        <f t="shared" si="15"/>
        <v>30000000</v>
      </c>
      <c r="I227" s="147">
        <f t="shared" si="16"/>
        <v>7212171.7913507083</v>
      </c>
      <c r="J227" s="149">
        <f t="shared" si="21"/>
        <v>24900000</v>
      </c>
      <c r="K227" s="149">
        <f t="shared" si="17"/>
        <v>17429390.383350708</v>
      </c>
      <c r="L227" s="150">
        <f t="shared" si="19"/>
        <v>15692463.222710714</v>
      </c>
    </row>
    <row r="228" spans="1:12" ht="15" x14ac:dyDescent="0.2">
      <c r="A228" s="145">
        <v>0.84</v>
      </c>
      <c r="B228" s="146">
        <f t="shared" si="12"/>
        <v>25937500</v>
      </c>
      <c r="C228" s="147">
        <f t="shared" si="13"/>
        <v>6688326.6882919893</v>
      </c>
      <c r="D228" s="149">
        <f t="shared" si="20"/>
        <v>21787500</v>
      </c>
      <c r="E228" s="147">
        <f t="shared" si="14"/>
        <v>15915076.21605199</v>
      </c>
      <c r="F228" s="150">
        <f t="shared" si="22"/>
        <v>14438796.29161042</v>
      </c>
      <c r="G228" s="145"/>
      <c r="H228" s="151">
        <f t="shared" si="15"/>
        <v>30000000</v>
      </c>
      <c r="I228" s="147">
        <f t="shared" si="16"/>
        <v>7212171.7913507083</v>
      </c>
      <c r="J228" s="149">
        <f t="shared" si="21"/>
        <v>25200000</v>
      </c>
      <c r="K228" s="149">
        <f t="shared" si="17"/>
        <v>17429390.383350708</v>
      </c>
      <c r="L228" s="150">
        <f t="shared" si="19"/>
        <v>15794635.408630714</v>
      </c>
    </row>
    <row r="229" spans="1:12" ht="15" x14ac:dyDescent="0.2">
      <c r="A229" s="145">
        <v>0.85</v>
      </c>
      <c r="B229" s="146">
        <f t="shared" si="12"/>
        <v>25937500</v>
      </c>
      <c r="C229" s="147">
        <f t="shared" si="13"/>
        <v>6688326.6882919893</v>
      </c>
      <c r="D229" s="149">
        <f t="shared" si="20"/>
        <v>22046875</v>
      </c>
      <c r="E229" s="147">
        <f t="shared" si="14"/>
        <v>15915076.21605199</v>
      </c>
      <c r="F229" s="150">
        <f t="shared" si="22"/>
        <v>14531063.78688802</v>
      </c>
      <c r="G229" s="145"/>
      <c r="H229" s="151">
        <f t="shared" si="15"/>
        <v>30000000</v>
      </c>
      <c r="I229" s="147">
        <f t="shared" si="16"/>
        <v>7212171.7913507083</v>
      </c>
      <c r="J229" s="149">
        <f t="shared" si="21"/>
        <v>25500000</v>
      </c>
      <c r="K229" s="149">
        <f t="shared" si="17"/>
        <v>17429390.383350708</v>
      </c>
      <c r="L229" s="150">
        <f t="shared" si="19"/>
        <v>15896807.594550714</v>
      </c>
    </row>
    <row r="230" spans="1:12" ht="15" x14ac:dyDescent="0.2">
      <c r="A230" s="145">
        <v>0.86</v>
      </c>
      <c r="B230" s="146">
        <f t="shared" si="12"/>
        <v>25937500</v>
      </c>
      <c r="C230" s="147">
        <f t="shared" si="13"/>
        <v>6688326.6882919893</v>
      </c>
      <c r="D230" s="149">
        <f t="shared" si="20"/>
        <v>22306250</v>
      </c>
      <c r="E230" s="147">
        <f t="shared" si="14"/>
        <v>15915076.21605199</v>
      </c>
      <c r="F230" s="150">
        <f t="shared" si="22"/>
        <v>14623331.28216562</v>
      </c>
      <c r="G230" s="145"/>
      <c r="H230" s="151">
        <f t="shared" si="15"/>
        <v>30000000</v>
      </c>
      <c r="I230" s="147">
        <f t="shared" si="16"/>
        <v>7212171.7913507083</v>
      </c>
      <c r="J230" s="149">
        <f t="shared" si="21"/>
        <v>25800000</v>
      </c>
      <c r="K230" s="149">
        <f t="shared" si="17"/>
        <v>17429390.383350708</v>
      </c>
      <c r="L230" s="150">
        <f t="shared" si="19"/>
        <v>15998979.780470714</v>
      </c>
    </row>
    <row r="231" spans="1:12" ht="15" x14ac:dyDescent="0.2">
      <c r="A231" s="145">
        <v>0.87</v>
      </c>
      <c r="B231" s="146">
        <f t="shared" si="12"/>
        <v>25937500</v>
      </c>
      <c r="C231" s="147">
        <f t="shared" si="13"/>
        <v>6688326.6882919893</v>
      </c>
      <c r="D231" s="149">
        <f t="shared" si="20"/>
        <v>22565625</v>
      </c>
      <c r="E231" s="147">
        <f t="shared" si="14"/>
        <v>15915076.21605199</v>
      </c>
      <c r="F231" s="150">
        <f t="shared" si="22"/>
        <v>14715598.777443221</v>
      </c>
      <c r="G231" s="145"/>
      <c r="H231" s="151">
        <f t="shared" si="15"/>
        <v>30000000</v>
      </c>
      <c r="I231" s="147">
        <f t="shared" si="16"/>
        <v>7212171.7913507083</v>
      </c>
      <c r="J231" s="149">
        <f t="shared" si="21"/>
        <v>26100000</v>
      </c>
      <c r="K231" s="149">
        <f t="shared" si="17"/>
        <v>17429390.383350708</v>
      </c>
      <c r="L231" s="150">
        <f t="shared" si="19"/>
        <v>16101151.966390714</v>
      </c>
    </row>
    <row r="232" spans="1:12" ht="15" x14ac:dyDescent="0.2">
      <c r="A232" s="145">
        <v>0.88</v>
      </c>
      <c r="B232" s="146">
        <f t="shared" si="12"/>
        <v>25937500</v>
      </c>
      <c r="C232" s="147">
        <f t="shared" si="13"/>
        <v>6688326.6882919893</v>
      </c>
      <c r="D232" s="149">
        <f t="shared" si="20"/>
        <v>22825000</v>
      </c>
      <c r="E232" s="147">
        <f t="shared" si="14"/>
        <v>15915076.21605199</v>
      </c>
      <c r="F232" s="150">
        <f t="shared" si="22"/>
        <v>14807866.272720821</v>
      </c>
      <c r="G232" s="145"/>
      <c r="H232" s="151">
        <f t="shared" si="15"/>
        <v>30000000</v>
      </c>
      <c r="I232" s="147">
        <f t="shared" si="16"/>
        <v>7212171.7913507083</v>
      </c>
      <c r="J232" s="149">
        <f t="shared" si="21"/>
        <v>26400000</v>
      </c>
      <c r="K232" s="149">
        <f t="shared" si="17"/>
        <v>17429390.383350708</v>
      </c>
      <c r="L232" s="150">
        <f t="shared" si="19"/>
        <v>16203324.152310714</v>
      </c>
    </row>
    <row r="233" spans="1:12" ht="15" x14ac:dyDescent="0.2">
      <c r="A233" s="145">
        <v>0.89</v>
      </c>
      <c r="B233" s="146">
        <f t="shared" si="12"/>
        <v>25937500</v>
      </c>
      <c r="C233" s="147">
        <f t="shared" si="13"/>
        <v>6688326.6882919893</v>
      </c>
      <c r="D233" s="149">
        <f t="shared" si="20"/>
        <v>23084375</v>
      </c>
      <c r="E233" s="147">
        <f t="shared" si="14"/>
        <v>15915076.21605199</v>
      </c>
      <c r="F233" s="150">
        <f t="shared" si="22"/>
        <v>14900133.767998422</v>
      </c>
      <c r="G233" s="145"/>
      <c r="H233" s="151">
        <f t="shared" si="15"/>
        <v>30000000</v>
      </c>
      <c r="I233" s="147">
        <f t="shared" si="16"/>
        <v>7212171.7913507083</v>
      </c>
      <c r="J233" s="149">
        <f t="shared" si="21"/>
        <v>26700000</v>
      </c>
      <c r="K233" s="149">
        <f t="shared" si="17"/>
        <v>17429390.383350708</v>
      </c>
      <c r="L233" s="150">
        <f t="shared" si="19"/>
        <v>16305496.338230714</v>
      </c>
    </row>
    <row r="234" spans="1:12" ht="15" x14ac:dyDescent="0.2">
      <c r="A234" s="145">
        <v>0.9</v>
      </c>
      <c r="B234" s="146">
        <f t="shared" si="12"/>
        <v>25937500</v>
      </c>
      <c r="C234" s="147">
        <f t="shared" si="13"/>
        <v>6688326.6882919893</v>
      </c>
      <c r="D234" s="149">
        <f t="shared" si="20"/>
        <v>23343750</v>
      </c>
      <c r="E234" s="147">
        <f t="shared" si="14"/>
        <v>15915076.21605199</v>
      </c>
      <c r="F234" s="150">
        <f t="shared" si="22"/>
        <v>14992401.263276022</v>
      </c>
      <c r="G234" s="145"/>
      <c r="H234" s="151">
        <f t="shared" si="15"/>
        <v>30000000</v>
      </c>
      <c r="I234" s="147">
        <f t="shared" si="16"/>
        <v>7212171.7913507083</v>
      </c>
      <c r="J234" s="149">
        <f t="shared" si="21"/>
        <v>27000000</v>
      </c>
      <c r="K234" s="149">
        <f t="shared" si="17"/>
        <v>17429390.383350708</v>
      </c>
      <c r="L234" s="150">
        <f t="shared" si="19"/>
        <v>16407668.524150714</v>
      </c>
    </row>
    <row r="235" spans="1:12" ht="15" x14ac:dyDescent="0.2">
      <c r="A235" s="145">
        <v>0.91</v>
      </c>
      <c r="B235" s="146">
        <f t="shared" si="12"/>
        <v>25937500</v>
      </c>
      <c r="C235" s="147">
        <f t="shared" si="13"/>
        <v>6688326.6882919893</v>
      </c>
      <c r="D235" s="149">
        <f t="shared" si="20"/>
        <v>23603125</v>
      </c>
      <c r="E235" s="147">
        <f t="shared" si="14"/>
        <v>15915076.21605199</v>
      </c>
      <c r="F235" s="150">
        <f t="shared" si="22"/>
        <v>15084668.758553622</v>
      </c>
      <c r="G235" s="145"/>
      <c r="H235" s="151">
        <f t="shared" si="15"/>
        <v>30000000</v>
      </c>
      <c r="I235" s="147">
        <f t="shared" si="16"/>
        <v>7212171.7913507083</v>
      </c>
      <c r="J235" s="149">
        <f t="shared" si="21"/>
        <v>27300000</v>
      </c>
      <c r="K235" s="149">
        <f t="shared" si="17"/>
        <v>17429390.383350708</v>
      </c>
      <c r="L235" s="150">
        <f t="shared" si="19"/>
        <v>16509840.710070714</v>
      </c>
    </row>
    <row r="236" spans="1:12" ht="15" x14ac:dyDescent="0.2">
      <c r="A236" s="145">
        <v>0.92</v>
      </c>
      <c r="B236" s="146">
        <f t="shared" si="12"/>
        <v>25937500</v>
      </c>
      <c r="C236" s="147">
        <f t="shared" si="13"/>
        <v>6688326.6882919893</v>
      </c>
      <c r="D236" s="149">
        <f t="shared" si="20"/>
        <v>23862500</v>
      </c>
      <c r="E236" s="147">
        <f t="shared" si="14"/>
        <v>15915076.21605199</v>
      </c>
      <c r="F236" s="150">
        <f t="shared" si="22"/>
        <v>15176936.253831223</v>
      </c>
      <c r="G236" s="145"/>
      <c r="H236" s="151">
        <f t="shared" si="15"/>
        <v>30000000</v>
      </c>
      <c r="I236" s="147">
        <f t="shared" si="16"/>
        <v>7212171.7913507083</v>
      </c>
      <c r="J236" s="149">
        <f t="shared" si="21"/>
        <v>27600000</v>
      </c>
      <c r="K236" s="149">
        <f t="shared" si="17"/>
        <v>17429390.383350708</v>
      </c>
      <c r="L236" s="150">
        <f t="shared" si="19"/>
        <v>16612012.895990714</v>
      </c>
    </row>
    <row r="237" spans="1:12" ht="15" x14ac:dyDescent="0.2">
      <c r="A237" s="145">
        <v>0.93</v>
      </c>
      <c r="B237" s="146">
        <f t="shared" si="12"/>
        <v>25937500</v>
      </c>
      <c r="C237" s="147">
        <f t="shared" si="13"/>
        <v>6688326.6882919893</v>
      </c>
      <c r="D237" s="149">
        <f t="shared" si="20"/>
        <v>24121875</v>
      </c>
      <c r="E237" s="147">
        <f t="shared" si="14"/>
        <v>15915076.21605199</v>
      </c>
      <c r="F237" s="150">
        <f t="shared" si="22"/>
        <v>15269203.749108823</v>
      </c>
      <c r="G237" s="145"/>
      <c r="H237" s="151">
        <f t="shared" si="15"/>
        <v>30000000</v>
      </c>
      <c r="I237" s="147">
        <f t="shared" si="16"/>
        <v>7212171.7913507083</v>
      </c>
      <c r="J237" s="149">
        <f t="shared" si="21"/>
        <v>27900000</v>
      </c>
      <c r="K237" s="149">
        <f t="shared" si="17"/>
        <v>17429390.383350708</v>
      </c>
      <c r="L237" s="150">
        <f t="shared" si="19"/>
        <v>16714185.081910715</v>
      </c>
    </row>
    <row r="238" spans="1:12" ht="15" x14ac:dyDescent="0.2">
      <c r="A238" s="145">
        <v>0.94</v>
      </c>
      <c r="B238" s="146">
        <f t="shared" si="12"/>
        <v>25937500</v>
      </c>
      <c r="C238" s="147">
        <f t="shared" si="13"/>
        <v>6688326.6882919893</v>
      </c>
      <c r="D238" s="149">
        <f t="shared" si="20"/>
        <v>24381250</v>
      </c>
      <c r="E238" s="147">
        <f t="shared" si="14"/>
        <v>15915076.21605199</v>
      </c>
      <c r="F238" s="150">
        <f t="shared" si="22"/>
        <v>15361471.244386423</v>
      </c>
      <c r="G238" s="145"/>
      <c r="H238" s="151">
        <f t="shared" si="15"/>
        <v>30000000</v>
      </c>
      <c r="I238" s="147">
        <f t="shared" si="16"/>
        <v>7212171.7913507083</v>
      </c>
      <c r="J238" s="149">
        <f t="shared" si="21"/>
        <v>28200000</v>
      </c>
      <c r="K238" s="149">
        <f t="shared" si="17"/>
        <v>17429390.383350708</v>
      </c>
      <c r="L238" s="150">
        <f t="shared" si="19"/>
        <v>16816357.267830715</v>
      </c>
    </row>
    <row r="239" spans="1:12" ht="15" x14ac:dyDescent="0.2">
      <c r="A239" s="145">
        <v>0.95</v>
      </c>
      <c r="B239" s="146">
        <f t="shared" si="12"/>
        <v>25937500</v>
      </c>
      <c r="C239" s="147">
        <f t="shared" si="13"/>
        <v>6688326.6882919893</v>
      </c>
      <c r="D239" s="149">
        <f t="shared" si="20"/>
        <v>24640625</v>
      </c>
      <c r="E239" s="147">
        <f t="shared" si="14"/>
        <v>15915076.21605199</v>
      </c>
      <c r="F239" s="150">
        <f t="shared" si="22"/>
        <v>15453738.739664024</v>
      </c>
      <c r="G239" s="145"/>
      <c r="H239" s="151">
        <f t="shared" si="15"/>
        <v>30000000</v>
      </c>
      <c r="I239" s="147">
        <f t="shared" si="16"/>
        <v>7212171.7913507083</v>
      </c>
      <c r="J239" s="149">
        <f t="shared" si="21"/>
        <v>28500000</v>
      </c>
      <c r="K239" s="149">
        <f t="shared" si="17"/>
        <v>17429390.383350708</v>
      </c>
      <c r="L239" s="150">
        <f t="shared" si="19"/>
        <v>16918529.453750715</v>
      </c>
    </row>
    <row r="240" spans="1:12" ht="15" x14ac:dyDescent="0.2">
      <c r="A240" s="145">
        <v>0.96</v>
      </c>
      <c r="B240" s="146">
        <f t="shared" si="12"/>
        <v>25937500</v>
      </c>
      <c r="C240" s="147">
        <f t="shared" si="13"/>
        <v>6688326.6882919893</v>
      </c>
      <c r="D240" s="149">
        <f t="shared" si="20"/>
        <v>24900000</v>
      </c>
      <c r="E240" s="147">
        <f t="shared" si="14"/>
        <v>15915076.21605199</v>
      </c>
      <c r="F240" s="150">
        <f t="shared" si="22"/>
        <v>15546006.234941624</v>
      </c>
      <c r="G240" s="145"/>
      <c r="H240" s="151">
        <f t="shared" si="15"/>
        <v>30000000</v>
      </c>
      <c r="I240" s="147">
        <f t="shared" si="16"/>
        <v>7212171.7913507083</v>
      </c>
      <c r="J240" s="149">
        <f t="shared" si="21"/>
        <v>28800000</v>
      </c>
      <c r="K240" s="149">
        <f t="shared" si="17"/>
        <v>17429390.383350708</v>
      </c>
      <c r="L240" s="150">
        <f t="shared" si="19"/>
        <v>17020701.639670715</v>
      </c>
    </row>
    <row r="241" spans="1:12" ht="15" x14ac:dyDescent="0.2">
      <c r="A241" s="145">
        <v>0.97</v>
      </c>
      <c r="B241" s="146">
        <f t="shared" si="12"/>
        <v>25937500</v>
      </c>
      <c r="C241" s="147">
        <f t="shared" si="13"/>
        <v>6688326.6882919893</v>
      </c>
      <c r="D241" s="149">
        <f t="shared" si="20"/>
        <v>25159375</v>
      </c>
      <c r="E241" s="147">
        <f t="shared" si="14"/>
        <v>15915076.21605199</v>
      </c>
      <c r="F241" s="150">
        <f>F240+$I$140</f>
        <v>15638273.730219224</v>
      </c>
      <c r="G241" s="145"/>
      <c r="H241" s="151">
        <f t="shared" si="15"/>
        <v>30000000</v>
      </c>
      <c r="I241" s="147">
        <f t="shared" si="16"/>
        <v>7212171.7913507083</v>
      </c>
      <c r="J241" s="149">
        <f t="shared" si="21"/>
        <v>29100000</v>
      </c>
      <c r="K241" s="149">
        <f t="shared" si="17"/>
        <v>17429390.383350708</v>
      </c>
      <c r="L241" s="150">
        <f t="shared" si="19"/>
        <v>17122873.825590715</v>
      </c>
    </row>
    <row r="242" spans="1:12" ht="15" x14ac:dyDescent="0.2">
      <c r="A242" s="145">
        <v>0.98</v>
      </c>
      <c r="B242" s="146">
        <f t="shared" si="12"/>
        <v>25937500</v>
      </c>
      <c r="C242" s="147">
        <f t="shared" si="13"/>
        <v>6688326.6882919893</v>
      </c>
      <c r="D242" s="149">
        <f t="shared" si="20"/>
        <v>25418750</v>
      </c>
      <c r="E242" s="147">
        <f t="shared" si="14"/>
        <v>15915076.21605199</v>
      </c>
      <c r="F242" s="150">
        <f>F241+$I$140</f>
        <v>15730541.225496825</v>
      </c>
      <c r="G242" s="145"/>
      <c r="H242" s="151">
        <f t="shared" si="15"/>
        <v>30000000</v>
      </c>
      <c r="I242" s="147">
        <f t="shared" si="16"/>
        <v>7212171.7913507083</v>
      </c>
      <c r="J242" s="149">
        <f t="shared" si="21"/>
        <v>29400000</v>
      </c>
      <c r="K242" s="149">
        <f t="shared" si="17"/>
        <v>17429390.383350708</v>
      </c>
      <c r="L242" s="150">
        <f t="shared" si="19"/>
        <v>17225046.011510715</v>
      </c>
    </row>
    <row r="243" spans="1:12" ht="15" x14ac:dyDescent="0.2">
      <c r="A243" s="145">
        <v>0.99</v>
      </c>
      <c r="B243" s="146">
        <f t="shared" si="12"/>
        <v>25937500</v>
      </c>
      <c r="C243" s="147">
        <f t="shared" si="13"/>
        <v>6688326.6882919893</v>
      </c>
      <c r="D243" s="149">
        <f t="shared" si="20"/>
        <v>25678125</v>
      </c>
      <c r="E243" s="147">
        <f t="shared" si="14"/>
        <v>15915076.21605199</v>
      </c>
      <c r="F243" s="150">
        <f>F242+$I$140</f>
        <v>15822808.720774425</v>
      </c>
      <c r="G243" s="145"/>
      <c r="H243" s="151">
        <f t="shared" si="15"/>
        <v>30000000</v>
      </c>
      <c r="I243" s="147">
        <f t="shared" si="16"/>
        <v>7212171.7913507083</v>
      </c>
      <c r="J243" s="149">
        <f t="shared" si="21"/>
        <v>29700000</v>
      </c>
      <c r="K243" s="149">
        <f t="shared" si="17"/>
        <v>17429390.383350708</v>
      </c>
      <c r="L243" s="150">
        <f t="shared" si="19"/>
        <v>17327218.197430715</v>
      </c>
    </row>
    <row r="244" spans="1:12" ht="15.75" thickBot="1" x14ac:dyDescent="0.25">
      <c r="A244" s="145">
        <v>1</v>
      </c>
      <c r="B244" s="152">
        <f t="shared" si="12"/>
        <v>25937500</v>
      </c>
      <c r="C244" s="153">
        <f t="shared" si="13"/>
        <v>6688326.6882919893</v>
      </c>
      <c r="D244" s="154">
        <f t="shared" si="20"/>
        <v>25937500</v>
      </c>
      <c r="E244" s="153">
        <f t="shared" si="14"/>
        <v>15915076.21605199</v>
      </c>
      <c r="F244" s="155">
        <f>F243+$I$140</f>
        <v>15915076.216052026</v>
      </c>
      <c r="G244" s="145"/>
      <c r="H244" s="156">
        <f t="shared" si="15"/>
        <v>30000000</v>
      </c>
      <c r="I244" s="153">
        <f t="shared" si="16"/>
        <v>7212171.7913507083</v>
      </c>
      <c r="J244" s="154">
        <f t="shared" si="21"/>
        <v>30000000</v>
      </c>
      <c r="K244" s="154">
        <f t="shared" si="17"/>
        <v>17429390.383350708</v>
      </c>
      <c r="L244" s="155">
        <f t="shared" si="19"/>
        <v>17429390.383350715</v>
      </c>
    </row>
    <row r="245" spans="1:12" ht="15" x14ac:dyDescent="0.2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</row>
    <row r="247" spans="1:12" x14ac:dyDescent="0.2">
      <c r="C247" s="166"/>
      <c r="D247" s="166"/>
    </row>
  </sheetData>
  <sheetProtection selectLockedCells="1" selectUnlockedCells="1"/>
  <mergeCells count="9">
    <mergeCell ref="A4:F4"/>
    <mergeCell ref="A22:G22"/>
    <mergeCell ref="B67:F67"/>
    <mergeCell ref="H139:K139"/>
    <mergeCell ref="A5:F5"/>
    <mergeCell ref="I100:J100"/>
    <mergeCell ref="I101:J101"/>
    <mergeCell ref="I102:J102"/>
    <mergeCell ref="I103:J103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ignoredErrors>
    <ignoredError sqref="B69:F72 B74:F78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8"/>
  <sheetViews>
    <sheetView zoomScale="40" zoomScaleNormal="40" workbookViewId="0">
      <selection activeCell="A4" sqref="A4"/>
    </sheetView>
  </sheetViews>
  <sheetFormatPr baseColWidth="10" defaultColWidth="11.42578125" defaultRowHeight="12.75" x14ac:dyDescent="0.2"/>
  <cols>
    <col min="1" max="1" width="45.5703125" style="7" customWidth="1"/>
    <col min="2" max="2" width="19.28515625" style="7" customWidth="1"/>
    <col min="3" max="3" width="24.7109375" style="7" customWidth="1"/>
    <col min="4" max="4" width="22.42578125" style="7" customWidth="1"/>
    <col min="5" max="5" width="24.140625" style="7" customWidth="1"/>
    <col min="6" max="6" width="17.28515625" style="7" customWidth="1"/>
    <col min="7" max="7" width="22" style="7" customWidth="1"/>
    <col min="8" max="8" width="17.42578125" style="7" customWidth="1"/>
    <col min="9" max="9" width="17" style="7" customWidth="1"/>
    <col min="10" max="10" width="11.42578125" style="7"/>
    <col min="11" max="11" width="13.7109375" style="7" customWidth="1"/>
    <col min="12" max="16384" width="11.42578125" style="7"/>
  </cols>
  <sheetData>
    <row r="1" spans="1:12" ht="15" x14ac:dyDescent="0.2">
      <c r="A1" s="1" t="s">
        <v>0</v>
      </c>
      <c r="B1"/>
      <c r="C1"/>
      <c r="D1"/>
      <c r="E1" s="2">
        <f>InfoInicial!E1</f>
        <v>8</v>
      </c>
      <c r="I1" s="134"/>
      <c r="J1" s="134"/>
      <c r="K1" s="134"/>
    </row>
    <row r="2" spans="1:12" ht="15" x14ac:dyDescent="0.2">
      <c r="A2" s="1"/>
      <c r="B2"/>
      <c r="C2"/>
      <c r="D2"/>
      <c r="E2" s="13"/>
      <c r="I2" s="134"/>
      <c r="J2" s="134"/>
      <c r="K2" s="134"/>
    </row>
    <row r="3" spans="1:12" ht="15.75" x14ac:dyDescent="0.25">
      <c r="A3" s="486" t="s">
        <v>161</v>
      </c>
      <c r="B3" s="486"/>
      <c r="C3" s="486"/>
      <c r="D3" s="486"/>
      <c r="E3" s="486"/>
      <c r="F3" s="486"/>
      <c r="G3" s="486"/>
      <c r="I3" s="134"/>
      <c r="J3" s="135" t="s">
        <v>702</v>
      </c>
      <c r="K3" s="134"/>
    </row>
    <row r="4" spans="1:12" ht="15" x14ac:dyDescent="0.2">
      <c r="A4" s="490" t="s">
        <v>88</v>
      </c>
      <c r="B4" s="490" t="s">
        <v>47</v>
      </c>
      <c r="C4" s="490" t="s">
        <v>48</v>
      </c>
      <c r="D4" s="490" t="s">
        <v>89</v>
      </c>
      <c r="E4" s="490" t="s">
        <v>90</v>
      </c>
      <c r="F4" s="490" t="s">
        <v>91</v>
      </c>
      <c r="G4" s="490" t="s">
        <v>92</v>
      </c>
      <c r="I4" s="134"/>
      <c r="J4" s="134"/>
      <c r="K4" s="134"/>
    </row>
    <row r="5" spans="1:12" ht="15" x14ac:dyDescent="0.2">
      <c r="A5" s="491" t="s">
        <v>162</v>
      </c>
      <c r="B5" s="590"/>
      <c r="C5" s="590"/>
      <c r="D5" s="590"/>
      <c r="E5" s="590"/>
      <c r="F5" s="590"/>
      <c r="G5" s="590"/>
      <c r="I5" s="134"/>
      <c r="J5" s="134"/>
      <c r="K5" s="134"/>
    </row>
    <row r="6" spans="1:12" ht="15.75" x14ac:dyDescent="0.25">
      <c r="A6" s="491" t="s">
        <v>163</v>
      </c>
      <c r="B6" s="591">
        <f>'ACT TRABAJO'!B13</f>
        <v>540000</v>
      </c>
      <c r="C6" s="591">
        <f>'ACT TRABAJO'!B14</f>
        <v>900000</v>
      </c>
      <c r="D6" s="591">
        <f>'ACT TRABAJO'!$B$15</f>
        <v>900000</v>
      </c>
      <c r="E6" s="591">
        <f>'ACT TRABAJO'!$B$15</f>
        <v>900000</v>
      </c>
      <c r="F6" s="591">
        <f>'ACT TRABAJO'!$B$15</f>
        <v>900000</v>
      </c>
      <c r="G6" s="591">
        <f>'ACT TRABAJO'!$B$15</f>
        <v>900000</v>
      </c>
      <c r="I6" s="134"/>
      <c r="J6" s="134"/>
      <c r="K6" s="134"/>
    </row>
    <row r="7" spans="1:12" ht="15.75" x14ac:dyDescent="0.25">
      <c r="A7" s="491" t="s">
        <v>164</v>
      </c>
      <c r="B7" s="591">
        <v>0</v>
      </c>
      <c r="C7" s="591">
        <f>'ACT TRABAJO'!B20</f>
        <v>2131849.3150684931</v>
      </c>
      <c r="D7" s="591">
        <f>'ACT TRABAJO'!$B$21</f>
        <v>2500000</v>
      </c>
      <c r="E7" s="591">
        <f>'ACT TRABAJO'!$B$21</f>
        <v>2500000</v>
      </c>
      <c r="F7" s="591">
        <f>'ACT TRABAJO'!$B$21</f>
        <v>2500000</v>
      </c>
      <c r="G7" s="591">
        <f>'ACT TRABAJO'!$B$21</f>
        <v>2500000</v>
      </c>
      <c r="I7" s="1477" t="s">
        <v>695</v>
      </c>
      <c r="J7" s="1477"/>
      <c r="K7" s="1448" t="s">
        <v>704</v>
      </c>
    </row>
    <row r="8" spans="1:12" ht="15" x14ac:dyDescent="0.2">
      <c r="A8" s="445"/>
      <c r="B8" s="592"/>
      <c r="C8" s="592"/>
      <c r="D8" s="592"/>
      <c r="E8" s="592"/>
      <c r="F8" s="592"/>
      <c r="G8" s="592"/>
      <c r="I8" s="1477"/>
      <c r="J8" s="1477"/>
      <c r="K8" s="1448"/>
    </row>
    <row r="9" spans="1:12" ht="15.75" x14ac:dyDescent="0.25">
      <c r="A9" s="491" t="s">
        <v>165</v>
      </c>
      <c r="B9" s="593">
        <f t="shared" ref="B9:G9" si="0">SUM(B10:B13)</f>
        <v>1207810.9192855756</v>
      </c>
      <c r="C9" s="593">
        <f>SUM(C10:C13)</f>
        <v>5032790.0216657408</v>
      </c>
      <c r="D9" s="593">
        <f t="shared" si="0"/>
        <v>5043900.1788947228</v>
      </c>
      <c r="E9" s="593">
        <f t="shared" si="0"/>
        <v>5043586.9979491569</v>
      </c>
      <c r="F9" s="593">
        <f t="shared" si="0"/>
        <v>5043610.2002589237</v>
      </c>
      <c r="G9" s="593">
        <f t="shared" si="0"/>
        <v>5043610.2002589237</v>
      </c>
      <c r="I9" s="1479" t="s">
        <v>47</v>
      </c>
      <c r="J9" s="1479"/>
      <c r="K9" s="203">
        <v>0</v>
      </c>
      <c r="L9" s="134"/>
    </row>
    <row r="10" spans="1:12" ht="15" x14ac:dyDescent="0.2">
      <c r="A10" s="343" t="s">
        <v>166</v>
      </c>
      <c r="B10" s="594">
        <f>'ACT TRABAJO'!I32</f>
        <v>1090976</v>
      </c>
      <c r="C10" s="594">
        <f>'ACT TRABAJO'!$I$42</f>
        <v>4688928</v>
      </c>
      <c r="D10" s="594">
        <f>'ACT TRABAJO'!$I$42</f>
        <v>4688928</v>
      </c>
      <c r="E10" s="594">
        <f>'ACT TRABAJO'!$I$42</f>
        <v>4688928</v>
      </c>
      <c r="F10" s="594">
        <f>'ACT TRABAJO'!$I$42</f>
        <v>4688928</v>
      </c>
      <c r="G10" s="594">
        <f>'ACT TRABAJO'!$I$42</f>
        <v>4688928</v>
      </c>
      <c r="I10" s="1479" t="s">
        <v>48</v>
      </c>
      <c r="J10" s="1479"/>
      <c r="K10" s="203">
        <v>6250</v>
      </c>
      <c r="L10" s="134"/>
    </row>
    <row r="11" spans="1:12" ht="15" x14ac:dyDescent="0.2">
      <c r="A11" s="343" t="s">
        <v>167</v>
      </c>
      <c r="B11" s="594">
        <f>0.8*C11</f>
        <v>116834.91928557563</v>
      </c>
      <c r="C11" s="594">
        <f>ADM!Q30+COMER!G38+PRODUCCION!K116</f>
        <v>146043.64910696953</v>
      </c>
      <c r="D11" s="594">
        <f>ADM!Q31+COMER!G39+PRODUCCION!G113</f>
        <v>161661.69829369272</v>
      </c>
      <c r="E11" s="594">
        <f>D11</f>
        <v>161661.69829369272</v>
      </c>
      <c r="F11" s="594">
        <f>ADM!Q31+COMER!G39+PRODUCCION!C113</f>
        <v>161686.32646369271</v>
      </c>
      <c r="G11" s="594">
        <f>F11</f>
        <v>161686.32646369271</v>
      </c>
      <c r="I11" s="1479" t="s">
        <v>403</v>
      </c>
      <c r="J11" s="1479"/>
      <c r="K11" s="203">
        <v>6250</v>
      </c>
      <c r="L11" s="134"/>
    </row>
    <row r="12" spans="1:12" ht="15" x14ac:dyDescent="0.2">
      <c r="A12" s="343" t="s">
        <v>168</v>
      </c>
      <c r="B12" s="594">
        <v>0</v>
      </c>
      <c r="C12" s="594">
        <f>'E-Costos'!B35</f>
        <v>49160.901974427281</v>
      </c>
      <c r="D12" s="594">
        <f>'E-Costos'!C35</f>
        <v>49028.498218875029</v>
      </c>
      <c r="E12" s="594">
        <f>'E-Costos'!D35</f>
        <v>48715.317273309112</v>
      </c>
      <c r="F12" s="594">
        <f>'E-Costos'!E35</f>
        <v>48713.891413075675</v>
      </c>
      <c r="G12" s="594">
        <f>'E-Costos'!F35</f>
        <v>48713.891413075675</v>
      </c>
      <c r="I12" s="134"/>
      <c r="J12" s="134"/>
      <c r="K12" s="134"/>
      <c r="L12" s="134"/>
    </row>
    <row r="13" spans="1:12" ht="15" x14ac:dyDescent="0.2">
      <c r="A13" s="343" t="s">
        <v>169</v>
      </c>
      <c r="B13" s="594">
        <v>0</v>
      </c>
      <c r="C13" s="594">
        <f>$K$10*'E-Costos'!B102</f>
        <v>148657.47058434392</v>
      </c>
      <c r="D13" s="594">
        <f>$K$11*'E-Costos'!$C$102</f>
        <v>144281.98238215467</v>
      </c>
      <c r="E13" s="594">
        <f>$K$11*'E-Costos'!$C$102</f>
        <v>144281.98238215467</v>
      </c>
      <c r="F13" s="594">
        <f>$K$11*'E-Costos'!$C$102</f>
        <v>144281.98238215467</v>
      </c>
      <c r="G13" s="594">
        <f>$K$11*'E-Costos'!$C$102</f>
        <v>144281.98238215467</v>
      </c>
      <c r="I13" s="134"/>
      <c r="J13" s="134"/>
      <c r="K13" s="134"/>
      <c r="L13" s="134"/>
    </row>
    <row r="14" spans="1:12" ht="15" x14ac:dyDescent="0.2">
      <c r="A14" s="445"/>
      <c r="B14" s="592"/>
      <c r="C14" s="592"/>
      <c r="D14" s="592"/>
      <c r="E14" s="592"/>
      <c r="F14" s="592"/>
      <c r="G14" s="592"/>
      <c r="I14" s="203" t="s">
        <v>696</v>
      </c>
      <c r="J14" s="203"/>
      <c r="K14" s="134"/>
      <c r="L14" s="134"/>
    </row>
    <row r="15" spans="1:12" ht="15.75" x14ac:dyDescent="0.25">
      <c r="A15" s="491" t="s">
        <v>170</v>
      </c>
      <c r="B15" s="591">
        <f>B6+B7+B9</f>
        <v>1747810.9192855756</v>
      </c>
      <c r="C15" s="591">
        <f t="shared" ref="C15:G15" si="1">C6+C7+C9</f>
        <v>8064639.3367342334</v>
      </c>
      <c r="D15" s="591">
        <f t="shared" si="1"/>
        <v>8443900.1788947228</v>
      </c>
      <c r="E15" s="591">
        <f t="shared" si="1"/>
        <v>8443586.9979491569</v>
      </c>
      <c r="F15" s="591">
        <f t="shared" si="1"/>
        <v>8443610.2002589237</v>
      </c>
      <c r="G15" s="591">
        <f t="shared" si="1"/>
        <v>8443610.2002589237</v>
      </c>
      <c r="I15" s="203" t="s">
        <v>697</v>
      </c>
      <c r="J15" s="203"/>
      <c r="K15" s="134"/>
      <c r="L15" s="134"/>
    </row>
    <row r="16" spans="1:12" ht="15.75" x14ac:dyDescent="0.25">
      <c r="A16" s="491" t="s">
        <v>171</v>
      </c>
      <c r="B16" s="595">
        <f>SUM(B17:B20)</f>
        <v>0</v>
      </c>
      <c r="C16" s="595">
        <f t="shared" ref="C16:G16" si="2">SUM(C17:C20)</f>
        <v>560633.14818393812</v>
      </c>
      <c r="D16" s="595">
        <f t="shared" si="2"/>
        <v>679425.08952674537</v>
      </c>
      <c r="E16" s="595">
        <f t="shared" si="2"/>
        <v>679300.29190702457</v>
      </c>
      <c r="F16" s="595">
        <f t="shared" si="2"/>
        <v>679344.49489776546</v>
      </c>
      <c r="G16" s="595">
        <f t="shared" si="2"/>
        <v>679343.99672960513</v>
      </c>
      <c r="I16" s="203"/>
      <c r="J16" s="465" t="s">
        <v>48</v>
      </c>
      <c r="K16" s="465" t="s">
        <v>403</v>
      </c>
      <c r="L16" s="134"/>
    </row>
    <row r="17" spans="1:12" ht="15" x14ac:dyDescent="0.2">
      <c r="A17" s="343" t="s">
        <v>172</v>
      </c>
      <c r="B17" s="594">
        <v>0</v>
      </c>
      <c r="C17" s="594">
        <f>'E-Costos'!B28</f>
        <v>1725.5514531532579</v>
      </c>
      <c r="D17" s="594">
        <f>'E-Costos'!$C$28</f>
        <v>1495.4731392500973</v>
      </c>
      <c r="E17" s="594">
        <f>'E-Costos'!$C$28</f>
        <v>1495.4731392500973</v>
      </c>
      <c r="F17" s="594">
        <f>'E-Costos'!$C$28</f>
        <v>1495.4731392500973</v>
      </c>
      <c r="G17" s="594">
        <f>'E-Costos'!$C$28</f>
        <v>1495.4731392500973</v>
      </c>
      <c r="I17" s="465" t="s">
        <v>558</v>
      </c>
      <c r="J17" s="372">
        <f>'E-Costos'!B25*InfoInicial!B3</f>
        <v>6873.1487999999999</v>
      </c>
      <c r="K17" s="372">
        <f>'E-Costos'!C25*InfoInicial!B3</f>
        <v>6873.1487999999999</v>
      </c>
      <c r="L17" s="134"/>
    </row>
    <row r="18" spans="1:12" ht="15" x14ac:dyDescent="0.2">
      <c r="A18" s="343" t="s">
        <v>173</v>
      </c>
      <c r="B18" s="594">
        <v>0</v>
      </c>
      <c r="C18" s="594">
        <f>('E-Costos'!B10-C17+B17)/PRODUCCION!F22*'E-InvAT'!K10</f>
        <v>8639.2609421206434</v>
      </c>
      <c r="D18" s="594">
        <f>('E-Costos'!C10-D17+C17)*'E-InvAT'!$K$11/PRODUCCION!$B$22</f>
        <v>7489.7321662819786</v>
      </c>
      <c r="E18" s="594">
        <f>('E-Costos'!D10-E17+D17)*'E-InvAT'!$K$11/PRODUCCION!$B$22</f>
        <v>7487.3355171788198</v>
      </c>
      <c r="F18" s="594">
        <f>('E-Costos'!E10-F17+E17)*'E-InvAT'!$K$11/PRODUCCION!$B$22</f>
        <v>7480.3910727343746</v>
      </c>
      <c r="G18" s="594">
        <f>('E-Costos'!F10-G17+F17)*'E-InvAT'!$K$11/PRODUCCION!$B$22</f>
        <v>7480.3910727343746</v>
      </c>
      <c r="I18" s="465" t="s">
        <v>97</v>
      </c>
      <c r="J18" s="372">
        <f>'E-Costos'!B30*InfoInicial!B3</f>
        <v>126.65859756523334</v>
      </c>
      <c r="K18" s="372">
        <f>'E-Costos'!C30*InfoInicial!B3</f>
        <v>126.65859756523334</v>
      </c>
      <c r="L18" s="134"/>
    </row>
    <row r="19" spans="1:12" ht="15" x14ac:dyDescent="0.2">
      <c r="A19" s="343" t="s">
        <v>174</v>
      </c>
      <c r="B19" s="594">
        <v>0</v>
      </c>
      <c r="C19" s="594">
        <f>'E-Costos'!B121*C7</f>
        <v>485538.72740265937</v>
      </c>
      <c r="D19" s="594">
        <f>'E-Costos'!C121*D7</f>
        <v>604744.98108301533</v>
      </c>
      <c r="E19" s="594">
        <f>'E-Costos'!D121*E7</f>
        <v>604735.77549108036</v>
      </c>
      <c r="F19" s="594">
        <f>'E-Costos'!E121*F7</f>
        <v>604786.54913486773</v>
      </c>
      <c r="G19" s="594">
        <f>'E-Costos'!F121*G7</f>
        <v>604786.62174296321</v>
      </c>
      <c r="I19" s="465" t="s">
        <v>698</v>
      </c>
      <c r="J19" s="372">
        <f>'E-Costos'!B31*InfoInicial!B3</f>
        <v>26.830047553854293</v>
      </c>
      <c r="K19" s="372">
        <f>'E-Costos'!C31*InfoInicial!B3</f>
        <v>24.417696786950732</v>
      </c>
      <c r="L19" s="134"/>
    </row>
    <row r="20" spans="1:12" ht="15" x14ac:dyDescent="0.2">
      <c r="A20" s="343" t="s">
        <v>175</v>
      </c>
      <c r="B20" s="594">
        <v>0</v>
      </c>
      <c r="C20" s="594">
        <f>('E-Inv AF y Am'!$D56-C17-C18)*30/365</f>
        <v>64729.608386004882</v>
      </c>
      <c r="D20" s="594">
        <f>('E-Inv AF y Am'!$D$56-D17-D18+C17+C18)*30/365</f>
        <v>65694.903138197958</v>
      </c>
      <c r="E20" s="594">
        <f>('E-Inv AF y Am'!$D$56-E17-E18+D17+D18)*30/365</f>
        <v>65581.707759515324</v>
      </c>
      <c r="F20" s="594">
        <f>('E-Inv AF y Am'!$D$56-F17-F18+E17+E18)*30/365</f>
        <v>65582.081550913237</v>
      </c>
      <c r="G20" s="594">
        <f>('E-Inv AF y Am'!$D$56-G17-G18+F17+F18)*30/365</f>
        <v>65581.510774657523</v>
      </c>
      <c r="I20" s="465" t="s">
        <v>99</v>
      </c>
      <c r="J20" s="372">
        <f>'E-Costos'!B32*InfoInicial!B3</f>
        <v>118.56752746338215</v>
      </c>
      <c r="K20" s="372">
        <f>'E-Costos'!C32*InfoInicial!B3</f>
        <v>118.56752746338215</v>
      </c>
      <c r="L20" s="134"/>
    </row>
    <row r="21" spans="1:12" ht="15" x14ac:dyDescent="0.2">
      <c r="A21" s="445"/>
      <c r="B21" s="592"/>
      <c r="C21" s="592"/>
      <c r="D21" s="592"/>
      <c r="E21" s="592"/>
      <c r="F21" s="592"/>
      <c r="G21" s="592"/>
      <c r="I21" s="465"/>
      <c r="J21" s="372">
        <v>0</v>
      </c>
      <c r="K21" s="372">
        <v>0</v>
      </c>
      <c r="L21" s="134"/>
    </row>
    <row r="22" spans="1:12" ht="15.75" x14ac:dyDescent="0.25">
      <c r="A22" s="491" t="s">
        <v>176</v>
      </c>
      <c r="B22" s="591">
        <f t="shared" ref="B22:G22" si="3">B15-B16</f>
        <v>1747810.9192855756</v>
      </c>
      <c r="C22" s="591">
        <f t="shared" si="3"/>
        <v>7504006.1885502953</v>
      </c>
      <c r="D22" s="591">
        <f t="shared" si="3"/>
        <v>7764475.0893679773</v>
      </c>
      <c r="E22" s="591">
        <f t="shared" si="3"/>
        <v>7764286.7060421323</v>
      </c>
      <c r="F22" s="591">
        <f t="shared" si="3"/>
        <v>7764265.7053611586</v>
      </c>
      <c r="G22" s="591">
        <f t="shared" si="3"/>
        <v>7764266.2035293188</v>
      </c>
      <c r="I22" s="585" t="s">
        <v>191</v>
      </c>
      <c r="J22" s="372">
        <f>SUM(J17:J21)</f>
        <v>7145.20497258247</v>
      </c>
      <c r="K22" s="372">
        <f>SUM(K17:K21)</f>
        <v>7142.7926218155662</v>
      </c>
      <c r="L22" s="134"/>
    </row>
    <row r="23" spans="1:12" ht="15.75" x14ac:dyDescent="0.25">
      <c r="A23" s="445"/>
      <c r="B23" s="592"/>
      <c r="C23" s="592"/>
      <c r="D23" s="592"/>
      <c r="E23" s="592"/>
      <c r="F23" s="592"/>
      <c r="G23" s="592"/>
      <c r="I23" s="585" t="s">
        <v>699</v>
      </c>
      <c r="J23" s="372">
        <f>J22</f>
        <v>7145.20497258247</v>
      </c>
      <c r="K23" s="372">
        <f>K22-J22</f>
        <v>-2.4123507669037281</v>
      </c>
      <c r="L23" s="134"/>
    </row>
    <row r="24" spans="1:12" ht="15" x14ac:dyDescent="0.2">
      <c r="A24" s="491" t="s">
        <v>177</v>
      </c>
      <c r="B24" s="594">
        <f>B15</f>
        <v>1747810.9192855756</v>
      </c>
      <c r="C24" s="594">
        <f>C15-B15</f>
        <v>6316828.4174486576</v>
      </c>
      <c r="D24" s="594">
        <f>D15-C15</f>
        <v>379260.84216048941</v>
      </c>
      <c r="E24" s="594">
        <f>E15-D15</f>
        <v>-313.18094556592405</v>
      </c>
      <c r="F24" s="594">
        <f>F15-E15</f>
        <v>23.20230976678431</v>
      </c>
      <c r="G24" s="594">
        <f>G15-F15</f>
        <v>0</v>
      </c>
      <c r="I24" s="134"/>
      <c r="J24" s="134"/>
      <c r="K24" s="134"/>
      <c r="L24" s="134"/>
    </row>
    <row r="25" spans="1:12" ht="15" x14ac:dyDescent="0.2">
      <c r="A25" s="491" t="s">
        <v>178</v>
      </c>
      <c r="B25" s="594">
        <f>B22</f>
        <v>1747810.9192855756</v>
      </c>
      <c r="C25" s="594">
        <f>C22-B22</f>
        <v>5756195.2692647194</v>
      </c>
      <c r="D25" s="594">
        <f>D22-C22</f>
        <v>260468.90081768204</v>
      </c>
      <c r="E25" s="594">
        <f>E22-D22</f>
        <v>-188.38332584500313</v>
      </c>
      <c r="F25" s="594">
        <f>F22-E22</f>
        <v>-21.000680973753333</v>
      </c>
      <c r="G25" s="594">
        <f>G22-F22</f>
        <v>0.4981681602075696</v>
      </c>
      <c r="I25" s="134"/>
      <c r="J25" s="134"/>
      <c r="K25" s="134"/>
      <c r="L25" s="134"/>
    </row>
    <row r="26" spans="1:12" ht="15" x14ac:dyDescent="0.2">
      <c r="A26" s="445"/>
      <c r="B26" s="592"/>
      <c r="C26" s="592"/>
      <c r="D26" s="592"/>
      <c r="E26" s="592"/>
      <c r="F26" s="592"/>
      <c r="G26" s="592"/>
      <c r="I26" s="134" t="s">
        <v>700</v>
      </c>
      <c r="J26" s="134"/>
      <c r="K26" s="134"/>
      <c r="L26" s="134"/>
    </row>
    <row r="27" spans="1:12" ht="15" x14ac:dyDescent="0.2">
      <c r="A27" s="491" t="s">
        <v>179</v>
      </c>
      <c r="B27" s="592"/>
      <c r="C27" s="592"/>
      <c r="D27" s="592"/>
      <c r="E27" s="594"/>
      <c r="F27" s="592"/>
      <c r="G27" s="592"/>
      <c r="I27" s="203"/>
      <c r="J27" s="465" t="s">
        <v>48</v>
      </c>
      <c r="K27" s="465" t="s">
        <v>403</v>
      </c>
      <c r="L27" s="134"/>
    </row>
    <row r="28" spans="1:12" ht="15" x14ac:dyDescent="0.2">
      <c r="A28" s="343" t="s">
        <v>180</v>
      </c>
      <c r="B28" s="594"/>
      <c r="C28" s="594"/>
      <c r="D28" s="594"/>
      <c r="E28" s="596"/>
      <c r="F28" s="594"/>
      <c r="G28" s="594"/>
      <c r="I28" s="465" t="s">
        <v>558</v>
      </c>
      <c r="J28" s="372">
        <f>((('E-Costos'!B7-'E-Costos'!B25-'E-Costos'!G25)/PRODUCCION!F22)*'E-InvAT'!$K$10)*InfoInicial!B3</f>
        <v>15982.14118554217</v>
      </c>
      <c r="K28" s="372">
        <f>((('E-Costos'!C7-'E-Costos'!C25)/PRODUCCION!B22)*'E-InvAT'!K11)*InfoInicial!B3</f>
        <v>15492.800399999998</v>
      </c>
      <c r="L28" s="134"/>
    </row>
    <row r="29" spans="1:12" ht="15" x14ac:dyDescent="0.2">
      <c r="A29" s="343" t="s">
        <v>181</v>
      </c>
      <c r="B29" s="594"/>
      <c r="C29" s="594"/>
      <c r="D29" s="594"/>
      <c r="E29" s="594"/>
      <c r="F29" s="594"/>
      <c r="G29" s="594"/>
      <c r="I29" s="465" t="s">
        <v>97</v>
      </c>
      <c r="J29" s="372">
        <f>((('E-Costos'!B12-'E-Costos'!B30-'E-Costos'!G30)/PRODUCCION!F22)*'E-InvAT'!K10)*InfoInicial!B3</f>
        <v>634.13737847660161</v>
      </c>
      <c r="K29" s="372">
        <f>((('E-Costos'!C12-'E-Costos'!C30)/PRODUCCION!B22)*'E-InvAT'!K11)*InfoInicial!B3</f>
        <v>632.81801808529713</v>
      </c>
      <c r="L29" s="134"/>
    </row>
    <row r="30" spans="1:12" ht="15" x14ac:dyDescent="0.2">
      <c r="A30" s="343" t="s">
        <v>182</v>
      </c>
      <c r="B30" s="594">
        <f>InfoInicial!$B$3*'E-InvAT'!B10</f>
        <v>229104.96</v>
      </c>
      <c r="C30" s="594">
        <f>(C10-B10)*InfoInicial!$B$3</f>
        <v>755569.91999999993</v>
      </c>
      <c r="D30" s="594">
        <f>(D10-C10)*InfoInicial!$B$3</f>
        <v>0</v>
      </c>
      <c r="E30" s="594">
        <f>(E10-D10)*InfoInicial!$B$3</f>
        <v>0</v>
      </c>
      <c r="F30" s="594">
        <f>(F10-E10)*InfoInicial!$B$3</f>
        <v>0</v>
      </c>
      <c r="G30" s="594">
        <f>(G10-F10)*InfoInicial!$B$3</f>
        <v>0</v>
      </c>
      <c r="I30" s="465" t="s">
        <v>698</v>
      </c>
      <c r="J30" s="372">
        <f>((('E-Costos'!B13-'E-Costos'!B31-'E-Costos'!G31)/PRODUCCION!F22)*'E-InvAT'!K10)*InfoInicial!B3</f>
        <v>133.68259758299141</v>
      </c>
      <c r="K30" s="372">
        <f>((('E-Costos'!C13-'E-Costos'!C31)/PRODUCCION!B22)*'E-InvAT'!K11)*InfoInicial!B3</f>
        <v>121.99691757180257</v>
      </c>
      <c r="L30" s="134"/>
    </row>
    <row r="31" spans="1:12" ht="15" x14ac:dyDescent="0.2">
      <c r="A31" s="343" t="s">
        <v>183</v>
      </c>
      <c r="B31" s="594">
        <f>B11*InfoInicial!B3</f>
        <v>24535.333049970879</v>
      </c>
      <c r="C31" s="594">
        <f>(C11-B11)*InfoInicial!B3</f>
        <v>6133.8332624927198</v>
      </c>
      <c r="D31" s="594">
        <f>(D11-C11)*InfoInicial!B3</f>
        <v>3279.7903292118699</v>
      </c>
      <c r="E31" s="594">
        <f>(E11-D11)*InfoInicial!B3</f>
        <v>0</v>
      </c>
      <c r="F31" s="594">
        <f>(F11-E11)*InfoInicial!B3</f>
        <v>5.1719156999961706</v>
      </c>
      <c r="G31" s="594">
        <f>(G11-F11)*InfoInicial!B3</f>
        <v>0</v>
      </c>
      <c r="I31" s="465" t="s">
        <v>123</v>
      </c>
      <c r="J31" s="372">
        <f>((('E-Costos'!B14-'E-Costos'!B32-'E-Costos'!G32)/PRODUCCION!F22)*'E-InvAT'!K10)*InfoInicial!B3</f>
        <v>593.62808749999988</v>
      </c>
      <c r="K31" s="372">
        <f>((('E-Costos'!C14-'E-Costos'!C32)/PRODUCCION!B22)*'E-InvAT'!K11)*InfoInicial!B3</f>
        <v>592.39300908892301</v>
      </c>
      <c r="L31" s="134"/>
    </row>
    <row r="32" spans="1:12" ht="15" x14ac:dyDescent="0.2">
      <c r="A32" s="343" t="s">
        <v>184</v>
      </c>
      <c r="B32" s="594">
        <v>0</v>
      </c>
      <c r="C32" s="594">
        <f>J23</f>
        <v>7145.20497258247</v>
      </c>
      <c r="D32" s="594">
        <f>$K$23</f>
        <v>-2.4123507669037281</v>
      </c>
      <c r="E32" s="594">
        <v>0</v>
      </c>
      <c r="F32" s="594">
        <v>0</v>
      </c>
      <c r="G32" s="594">
        <v>0</v>
      </c>
      <c r="I32" s="203"/>
      <c r="J32" s="372">
        <v>0</v>
      </c>
      <c r="K32" s="372">
        <v>0</v>
      </c>
      <c r="L32" s="134"/>
    </row>
    <row r="33" spans="1:12" ht="15.75" x14ac:dyDescent="0.25">
      <c r="A33" s="343" t="s">
        <v>185</v>
      </c>
      <c r="B33" s="594">
        <v>0</v>
      </c>
      <c r="C33" s="594">
        <f>J34</f>
        <v>17343.589249101766</v>
      </c>
      <c r="D33" s="594">
        <f>$K$34</f>
        <v>-503.58090435574195</v>
      </c>
      <c r="E33" s="594">
        <v>0</v>
      </c>
      <c r="F33" s="594">
        <v>0</v>
      </c>
      <c r="G33" s="594">
        <v>0</v>
      </c>
      <c r="I33" s="585" t="s">
        <v>152</v>
      </c>
      <c r="J33" s="372">
        <f>SUM(J28:J32)</f>
        <v>17343.589249101766</v>
      </c>
      <c r="K33" s="372">
        <f>SUM(K28:K32)</f>
        <v>16840.008344746024</v>
      </c>
      <c r="L33" s="134"/>
    </row>
    <row r="34" spans="1:12" ht="15.75" x14ac:dyDescent="0.25">
      <c r="A34" s="491" t="s">
        <v>186</v>
      </c>
      <c r="B34" s="594">
        <f>SUM(B30:B33)</f>
        <v>253640.29304997087</v>
      </c>
      <c r="C34" s="594">
        <f>SUM(C30:C33)</f>
        <v>786192.54748417693</v>
      </c>
      <c r="D34" s="594">
        <f t="shared" ref="D34:G34" si="4">SUM(D30:D33)</f>
        <v>2773.7970740892242</v>
      </c>
      <c r="E34" s="594">
        <f t="shared" si="4"/>
        <v>0</v>
      </c>
      <c r="F34" s="594">
        <f>SUM(F30:F33)</f>
        <v>5.1719156999961706</v>
      </c>
      <c r="G34" s="594">
        <f t="shared" si="4"/>
        <v>0</v>
      </c>
      <c r="I34" s="585" t="s">
        <v>701</v>
      </c>
      <c r="J34" s="372">
        <f>J33</f>
        <v>17343.589249101766</v>
      </c>
      <c r="K34" s="372">
        <f>K33-J33</f>
        <v>-503.58090435574195</v>
      </c>
      <c r="L34" s="134"/>
    </row>
    <row r="35" spans="1:12" ht="15" x14ac:dyDescent="0.2">
      <c r="A35" s="445"/>
      <c r="B35" s="592"/>
      <c r="C35" s="592"/>
      <c r="D35" s="592"/>
      <c r="E35" s="592"/>
      <c r="F35" s="592"/>
      <c r="G35" s="596"/>
      <c r="I35" s="201"/>
      <c r="J35" s="51"/>
      <c r="K35" s="51"/>
      <c r="L35" s="134"/>
    </row>
    <row r="36" spans="1:12" ht="15.75" x14ac:dyDescent="0.25">
      <c r="A36" s="491" t="s">
        <v>187</v>
      </c>
      <c r="B36" s="591">
        <f>B25+B34</f>
        <v>2001451.2123355465</v>
      </c>
      <c r="C36" s="591">
        <f t="shared" ref="C36:G36" si="5">C25+C34</f>
        <v>6542387.8167488966</v>
      </c>
      <c r="D36" s="591">
        <f t="shared" si="5"/>
        <v>263242.69789177127</v>
      </c>
      <c r="E36" s="591">
        <f t="shared" si="5"/>
        <v>-188.38332584500313</v>
      </c>
      <c r="F36" s="591">
        <f t="shared" si="5"/>
        <v>-15.828765273757163</v>
      </c>
      <c r="G36" s="591">
        <f t="shared" si="5"/>
        <v>0.4981681602075696</v>
      </c>
      <c r="I36" s="202"/>
      <c r="J36" s="51"/>
      <c r="K36" s="51"/>
      <c r="L36" s="134"/>
    </row>
    <row r="37" spans="1:12" ht="15.75" x14ac:dyDescent="0.25">
      <c r="I37" s="202"/>
      <c r="J37" s="51"/>
      <c r="K37" s="51"/>
      <c r="L37" s="134"/>
    </row>
    <row r="38" spans="1:12" ht="15" x14ac:dyDescent="0.2">
      <c r="I38" s="134"/>
      <c r="J38" s="134"/>
      <c r="K38" s="134"/>
      <c r="L38" s="134"/>
    </row>
  </sheetData>
  <sheetProtection selectLockedCells="1" selectUnlockedCells="1"/>
  <mergeCells count="5">
    <mergeCell ref="I7:J8"/>
    <mergeCell ref="K7:K8"/>
    <mergeCell ref="I9:J9"/>
    <mergeCell ref="I10:J10"/>
    <mergeCell ref="I11:J11"/>
  </mergeCells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26"/>
  <sheetViews>
    <sheetView zoomScale="55" zoomScaleNormal="55" workbookViewId="0">
      <selection activeCell="D7" sqref="D7"/>
    </sheetView>
  </sheetViews>
  <sheetFormatPr baseColWidth="10" defaultColWidth="11.42578125" defaultRowHeight="12.75" x14ac:dyDescent="0.2"/>
  <cols>
    <col min="1" max="1" width="30.7109375" style="7" customWidth="1"/>
    <col min="2" max="2" width="14" style="7" customWidth="1"/>
    <col min="3" max="3" width="18.7109375" style="7" customWidth="1"/>
    <col min="4" max="4" width="22" style="7" customWidth="1"/>
    <col min="5" max="5" width="21" style="7" customWidth="1"/>
    <col min="6" max="8" width="14" style="7" customWidth="1"/>
    <col min="9" max="9" width="24.140625" style="7" customWidth="1"/>
    <col min="10" max="10" width="17.42578125" style="7" customWidth="1"/>
    <col min="11" max="16384" width="11.42578125" style="7"/>
  </cols>
  <sheetData>
    <row r="1" spans="1:9" x14ac:dyDescent="0.2">
      <c r="A1" s="1" t="s">
        <v>0</v>
      </c>
      <c r="B1"/>
      <c r="C1"/>
      <c r="D1"/>
      <c r="G1" s="2">
        <f>InfoInicial!E1</f>
        <v>8</v>
      </c>
    </row>
    <row r="3" spans="1:9" ht="15.75" x14ac:dyDescent="0.25">
      <c r="A3" s="486" t="s">
        <v>188</v>
      </c>
      <c r="B3" s="486"/>
      <c r="C3" s="486"/>
      <c r="D3" s="486"/>
      <c r="E3" s="486"/>
      <c r="F3" s="486"/>
      <c r="G3" s="486"/>
      <c r="H3" s="486"/>
      <c r="I3" s="486"/>
    </row>
    <row r="4" spans="1:9" ht="25.5" x14ac:dyDescent="0.2">
      <c r="A4" s="490" t="s">
        <v>88</v>
      </c>
      <c r="B4" s="586" t="s">
        <v>189</v>
      </c>
      <c r="C4" s="586" t="s">
        <v>190</v>
      </c>
      <c r="D4" s="490" t="s">
        <v>48</v>
      </c>
      <c r="E4" s="490" t="s">
        <v>89</v>
      </c>
      <c r="F4" s="490" t="s">
        <v>90</v>
      </c>
      <c r="G4" s="490" t="s">
        <v>91</v>
      </c>
      <c r="H4" s="490" t="s">
        <v>92</v>
      </c>
      <c r="I4" s="490" t="s">
        <v>191</v>
      </c>
    </row>
    <row r="5" spans="1:9" ht="15" x14ac:dyDescent="0.2">
      <c r="A5" s="491" t="s">
        <v>192</v>
      </c>
      <c r="B5" s="587"/>
      <c r="C5" s="587"/>
      <c r="D5" s="587"/>
      <c r="E5" s="587"/>
      <c r="F5" s="587"/>
      <c r="G5" s="587"/>
      <c r="H5" s="587"/>
      <c r="I5" s="587"/>
    </row>
    <row r="6" spans="1:9" ht="15" x14ac:dyDescent="0.2">
      <c r="A6" s="401" t="s">
        <v>193</v>
      </c>
      <c r="B6" s="588"/>
      <c r="C6" s="588">
        <f>'E-Inv AF y Am'!B20</f>
        <v>6989103.3033750001</v>
      </c>
      <c r="D6" s="588">
        <v>0</v>
      </c>
      <c r="E6" s="588">
        <v>0</v>
      </c>
      <c r="F6" s="588">
        <v>0</v>
      </c>
      <c r="G6" s="588">
        <v>0</v>
      </c>
      <c r="H6" s="588">
        <v>0</v>
      </c>
      <c r="I6" s="588">
        <f>SUM(B6:H6)</f>
        <v>6989103.3033750001</v>
      </c>
    </row>
    <row r="7" spans="1:9" ht="15" x14ac:dyDescent="0.2">
      <c r="A7" s="401" t="s">
        <v>194</v>
      </c>
      <c r="B7" s="588">
        <f>'E-Inv AF y Am'!B23</f>
        <v>50000</v>
      </c>
      <c r="C7" s="588">
        <f>'E-Inv AF y Am'!B31-'E-Inv AF y Am'!B23</f>
        <v>1115500</v>
      </c>
      <c r="D7" s="588">
        <f>'E-Inv AF y Am'!C26+'E-Inv AF y Am'!C29</f>
        <v>149850</v>
      </c>
      <c r="E7" s="588">
        <v>0</v>
      </c>
      <c r="F7" s="588">
        <v>0</v>
      </c>
      <c r="G7" s="588">
        <v>0</v>
      </c>
      <c r="H7" s="588">
        <v>0</v>
      </c>
      <c r="I7" s="588">
        <f>SUM(B7:H7)</f>
        <v>1315350</v>
      </c>
    </row>
    <row r="8" spans="1:9" ht="15.75" x14ac:dyDescent="0.25">
      <c r="A8" s="491" t="s">
        <v>195</v>
      </c>
      <c r="B8" s="589">
        <f>SUM(B6:B7)</f>
        <v>50000</v>
      </c>
      <c r="C8" s="589">
        <f>SUM(C6:C7)</f>
        <v>8104603.3033750001</v>
      </c>
      <c r="D8" s="589">
        <f t="shared" ref="D8:H8" si="0">SUM(D6:D7)</f>
        <v>149850</v>
      </c>
      <c r="E8" s="589">
        <f>SUM(E6:E7)</f>
        <v>0</v>
      </c>
      <c r="F8" s="589">
        <f t="shared" si="0"/>
        <v>0</v>
      </c>
      <c r="G8" s="589">
        <f t="shared" si="0"/>
        <v>0</v>
      </c>
      <c r="H8" s="589">
        <f t="shared" si="0"/>
        <v>0</v>
      </c>
      <c r="I8" s="589">
        <f>SUM(B8:H8)</f>
        <v>8304453.3033750001</v>
      </c>
    </row>
    <row r="9" spans="1:9" ht="15" x14ac:dyDescent="0.2">
      <c r="A9" s="488"/>
      <c r="B9" s="587"/>
      <c r="C9" s="587"/>
      <c r="D9" s="587"/>
      <c r="E9" s="587"/>
      <c r="F9" s="587"/>
      <c r="G9" s="587"/>
      <c r="H9" s="587"/>
      <c r="I9" s="587"/>
    </row>
    <row r="10" spans="1:9" ht="15" x14ac:dyDescent="0.2">
      <c r="A10" s="491" t="s">
        <v>196</v>
      </c>
      <c r="B10" s="588"/>
      <c r="C10" s="588"/>
      <c r="D10" s="588"/>
      <c r="E10" s="588"/>
      <c r="F10" s="588"/>
      <c r="G10" s="588"/>
      <c r="H10" s="588"/>
      <c r="I10" s="588"/>
    </row>
    <row r="11" spans="1:9" ht="15" x14ac:dyDescent="0.2">
      <c r="A11" s="401" t="s">
        <v>197</v>
      </c>
      <c r="B11" s="588">
        <v>0</v>
      </c>
      <c r="C11" s="588">
        <f>'E-InvAT'!B6</f>
        <v>540000</v>
      </c>
      <c r="D11" s="588">
        <f>'E-InvAT'!C6-'E-InvAT'!B6</f>
        <v>360000</v>
      </c>
      <c r="E11" s="588">
        <f>'E-InvAT'!D6-'E-InvAT'!C6</f>
        <v>0</v>
      </c>
      <c r="F11" s="588">
        <f>'E-InvAT'!E6-'E-InvAT'!D6</f>
        <v>0</v>
      </c>
      <c r="G11" s="588">
        <f>'E-InvAT'!F6-'E-InvAT'!E6</f>
        <v>0</v>
      </c>
      <c r="H11" s="588">
        <f>'E-InvAT'!G6-'E-InvAT'!F6</f>
        <v>0</v>
      </c>
      <c r="I11" s="588">
        <f>SUM(B11:H11)</f>
        <v>900000</v>
      </c>
    </row>
    <row r="12" spans="1:9" ht="15" x14ac:dyDescent="0.2">
      <c r="A12" s="401" t="s">
        <v>198</v>
      </c>
      <c r="B12" s="588">
        <v>0</v>
      </c>
      <c r="C12" s="588">
        <v>0</v>
      </c>
      <c r="D12" s="588">
        <f>'E-InvAT'!C7-'E-InvAT'!C19-'E-InvAT'!C20</f>
        <v>1581580.979279829</v>
      </c>
      <c r="E12" s="588">
        <f>('E-InvAT'!D7-'E-InvAT'!D19-'E-InvAT'!D20)-'E-Cal Inv.'!D12</f>
        <v>247979.13649895764</v>
      </c>
      <c r="F12" s="588">
        <f>('E-InvAT'!E7-'E-InvAT'!E19-'E-InvAT'!E20)-('E-Cal Inv.'!E12+D12)</f>
        <v>122.40097061777487</v>
      </c>
      <c r="G12" s="588">
        <f>('E-InvAT'!F7-'E-InvAT'!F19-'E-InvAT'!F20)-('E-Cal Inv.'!F12+E12+D12)</f>
        <v>-51.147435185266659</v>
      </c>
      <c r="H12" s="588">
        <f>('E-InvAT'!G7-'E-InvAT'!G19-'E-InvAT'!G20)-('E-Cal Inv.'!G12+F12+E12+D12)</f>
        <v>0.49816815997473896</v>
      </c>
      <c r="I12" s="588">
        <f>SUM(B12:H12)</f>
        <v>1829631.8674823791</v>
      </c>
    </row>
    <row r="13" spans="1:9" ht="15" x14ac:dyDescent="0.2">
      <c r="A13" s="401" t="s">
        <v>199</v>
      </c>
      <c r="B13" s="588"/>
      <c r="C13" s="588"/>
      <c r="D13" s="588"/>
      <c r="E13" s="588"/>
      <c r="F13" s="588"/>
      <c r="G13" s="588"/>
      <c r="H13" s="588"/>
      <c r="I13" s="588"/>
    </row>
    <row r="14" spans="1:9" ht="15" x14ac:dyDescent="0.2">
      <c r="A14" s="401" t="s">
        <v>200</v>
      </c>
      <c r="B14" s="588">
        <v>0</v>
      </c>
      <c r="C14" s="588">
        <f>'E-InvAT'!B10</f>
        <v>1090976</v>
      </c>
      <c r="D14" s="588">
        <f>'E-InvAT'!C10-'E-InvAT'!B10</f>
        <v>3597952</v>
      </c>
      <c r="E14" s="588">
        <f>'E-InvAT'!D10-'E-InvAT'!C10</f>
        <v>0</v>
      </c>
      <c r="F14" s="588">
        <f>'E-InvAT'!E10-'E-InvAT'!D10</f>
        <v>0</v>
      </c>
      <c r="G14" s="588">
        <f>'E-InvAT'!F10-'E-InvAT'!E10</f>
        <v>0</v>
      </c>
      <c r="H14" s="588">
        <f>'E-InvAT'!G10-'E-InvAT'!F10</f>
        <v>0</v>
      </c>
      <c r="I14" s="588">
        <f>SUM(B14:H14)</f>
        <v>4688928</v>
      </c>
    </row>
    <row r="15" spans="1:9" ht="15" x14ac:dyDescent="0.2">
      <c r="A15" s="401" t="s">
        <v>201</v>
      </c>
      <c r="B15" s="588">
        <v>0</v>
      </c>
      <c r="C15" s="588">
        <f>'E-InvAT'!B11</f>
        <v>116834.91928557563</v>
      </c>
      <c r="D15" s="588">
        <f>'E-InvAT'!C11-'E-InvAT'!B11</f>
        <v>29208.729821393907</v>
      </c>
      <c r="E15" s="588">
        <f>'E-InvAT'!D11-'E-InvAT'!C11</f>
        <v>15618.04918672319</v>
      </c>
      <c r="F15" s="588">
        <f>'E-InvAT'!E11-'E-InvAT'!D11</f>
        <v>0</v>
      </c>
      <c r="G15" s="588">
        <f>'E-InvAT'!F11-'E-InvAT'!E11</f>
        <v>24.628169999981765</v>
      </c>
      <c r="H15" s="588">
        <f>'E-InvAT'!G11-'E-InvAT'!F11</f>
        <v>0</v>
      </c>
      <c r="I15" s="588">
        <f>SUM(B15:H15)</f>
        <v>161686.32646369271</v>
      </c>
    </row>
    <row r="16" spans="1:9" ht="15" x14ac:dyDescent="0.2">
      <c r="A16" s="401" t="s">
        <v>202</v>
      </c>
      <c r="B16" s="588">
        <v>0</v>
      </c>
      <c r="C16" s="588">
        <v>0</v>
      </c>
      <c r="D16" s="588">
        <f>'E-InvAT'!C12-'E-InvAT'!C17</f>
        <v>47435.35052127402</v>
      </c>
      <c r="E16" s="588">
        <f>('E-InvAT'!D12-'E-InvAT'!D17)-'E-Cal Inv.'!D16</f>
        <v>97.674558350910957</v>
      </c>
      <c r="F16" s="588">
        <f>('E-InvAT'!E12-'E-InvAT'!E17)-(E16+D16)</f>
        <v>-313.18094556591677</v>
      </c>
      <c r="G16" s="588">
        <f>('E-InvAT'!F12-'E-InvAT'!F17)-('E-Cal Inv.'!F16+E16+D16)</f>
        <v>-1.425860233437561</v>
      </c>
      <c r="H16" s="588">
        <f>('E-InvAT'!G12-'E-InvAT'!G17)-('E-Cal Inv.'!G16+E16+D16+F16)</f>
        <v>0</v>
      </c>
      <c r="I16" s="588">
        <f>SUM(B16:H16)</f>
        <v>47218.418273825577</v>
      </c>
    </row>
    <row r="17" spans="1:9" ht="15" x14ac:dyDescent="0.2">
      <c r="A17" s="401" t="s">
        <v>203</v>
      </c>
      <c r="B17" s="588">
        <v>0</v>
      </c>
      <c r="C17" s="588">
        <v>0</v>
      </c>
      <c r="D17" s="588">
        <f>'E-InvAT'!C13-'E-InvAT'!C18</f>
        <v>140018.20964222326</v>
      </c>
      <c r="E17" s="588">
        <f>('E-InvAT'!D13-'E-InvAT'!D18)-'E-Cal Inv.'!D17</f>
        <v>-3225.9594263505714</v>
      </c>
      <c r="F17" s="588">
        <f>('E-InvAT'!E13-'E-InvAT'!E18)-('E-Cal Inv.'!E17+D17)</f>
        <v>2.3966491031751502</v>
      </c>
      <c r="G17" s="588">
        <f>('E-InvAT'!F13-'E-InvAT'!F18)-('E-Cal Inv.'!F17+E17+D17)</f>
        <v>6.9444444444379769</v>
      </c>
      <c r="H17" s="588">
        <f>('E-InvAT'!G13-'E-InvAT'!G18)-('E-Cal Inv.'!G17+F17+E17+D17)</f>
        <v>0</v>
      </c>
      <c r="I17" s="588">
        <f>SUM(B17:H17)</f>
        <v>136801.5913094203</v>
      </c>
    </row>
    <row r="18" spans="1:9" ht="15.75" x14ac:dyDescent="0.25">
      <c r="A18" s="491" t="s">
        <v>204</v>
      </c>
      <c r="B18" s="589">
        <f>SUM(B11:B17)</f>
        <v>0</v>
      </c>
      <c r="C18" s="589">
        <f>SUM(C11:C17)</f>
        <v>1747810.9192855756</v>
      </c>
      <c r="D18" s="589">
        <f t="shared" ref="D18:I18" si="1">SUM(D11:D17)</f>
        <v>5756195.2692647204</v>
      </c>
      <c r="E18" s="589">
        <f t="shared" si="1"/>
        <v>260468.90081768119</v>
      </c>
      <c r="F18" s="589">
        <f t="shared" si="1"/>
        <v>-188.38332584496675</v>
      </c>
      <c r="G18" s="589">
        <f t="shared" si="1"/>
        <v>-21.000680974284478</v>
      </c>
      <c r="H18" s="589">
        <f t="shared" si="1"/>
        <v>0.49816815997473896</v>
      </c>
      <c r="I18" s="589">
        <f t="shared" si="1"/>
        <v>7764266.2035293169</v>
      </c>
    </row>
    <row r="19" spans="1:9" ht="15" x14ac:dyDescent="0.2">
      <c r="A19" s="488"/>
      <c r="B19" s="587"/>
      <c r="C19" s="587"/>
      <c r="D19" s="587"/>
      <c r="E19" s="587"/>
      <c r="F19" s="587"/>
      <c r="G19" s="587"/>
      <c r="H19" s="587"/>
      <c r="I19" s="587"/>
    </row>
    <row r="20" spans="1:9" ht="15" x14ac:dyDescent="0.2">
      <c r="A20" s="491" t="s">
        <v>205</v>
      </c>
      <c r="B20" s="587"/>
      <c r="C20" s="587"/>
      <c r="D20" s="587"/>
      <c r="E20" s="587"/>
      <c r="F20" s="587"/>
      <c r="G20" s="587"/>
      <c r="H20" s="587"/>
      <c r="I20" s="587"/>
    </row>
    <row r="21" spans="1:9" ht="15" x14ac:dyDescent="0.2">
      <c r="A21" s="401" t="s">
        <v>206</v>
      </c>
      <c r="B21" s="588">
        <f>B8*InfoInicial!$B$3</f>
        <v>10500</v>
      </c>
      <c r="C21" s="588">
        <f>C8*InfoInicial!$B$3</f>
        <v>1701966.69370875</v>
      </c>
      <c r="D21" s="588">
        <f>D8*InfoInicial!$B$3</f>
        <v>31468.5</v>
      </c>
      <c r="E21" s="588">
        <f>E8*InfoInicial!$B$3</f>
        <v>0</v>
      </c>
      <c r="F21" s="588">
        <f>F8*InfoInicial!$B$3</f>
        <v>0</v>
      </c>
      <c r="G21" s="588">
        <f>G8*InfoInicial!$B$3</f>
        <v>0</v>
      </c>
      <c r="H21" s="588">
        <f>H8*InfoInicial!$B$3</f>
        <v>0</v>
      </c>
      <c r="I21" s="588">
        <f>SUM(B21:H21)</f>
        <v>1743935.19370875</v>
      </c>
    </row>
    <row r="22" spans="1:9" ht="15" x14ac:dyDescent="0.2">
      <c r="A22" s="401" t="s">
        <v>207</v>
      </c>
      <c r="B22" s="588">
        <f>B18*InfoInicial!$B$3</f>
        <v>0</v>
      </c>
      <c r="C22" s="588">
        <f>+'E-InvAT'!B34</f>
        <v>253640.29304997087</v>
      </c>
      <c r="D22" s="588">
        <f>+'E-InvAT'!C34</f>
        <v>786192.54748417693</v>
      </c>
      <c r="E22" s="588">
        <f>+'E-InvAT'!D34</f>
        <v>2773.7970740892242</v>
      </c>
      <c r="F22" s="588">
        <f>+'E-InvAT'!E34</f>
        <v>0</v>
      </c>
      <c r="G22" s="588">
        <f>+'E-InvAT'!F34</f>
        <v>5.1719156999961706</v>
      </c>
      <c r="H22" s="588">
        <f>+'E-InvAT'!G34</f>
        <v>0</v>
      </c>
      <c r="I22" s="588">
        <f>SUM(B22:H22)</f>
        <v>1042611.8095239369</v>
      </c>
    </row>
    <row r="23" spans="1:9" ht="15.75" x14ac:dyDescent="0.25">
      <c r="A23" s="491" t="s">
        <v>208</v>
      </c>
      <c r="B23" s="589">
        <f>SUM(B21:B22)</f>
        <v>10500</v>
      </c>
      <c r="C23" s="589">
        <f t="shared" ref="C23:H23" si="2">SUM(C21:C22)</f>
        <v>1955606.9867587208</v>
      </c>
      <c r="D23" s="589">
        <f t="shared" si="2"/>
        <v>817661.04748417693</v>
      </c>
      <c r="E23" s="589">
        <f t="shared" si="2"/>
        <v>2773.7970740892242</v>
      </c>
      <c r="F23" s="589">
        <f t="shared" si="2"/>
        <v>0</v>
      </c>
      <c r="G23" s="589">
        <f t="shared" si="2"/>
        <v>5.1719156999961706</v>
      </c>
      <c r="H23" s="589">
        <f t="shared" si="2"/>
        <v>0</v>
      </c>
      <c r="I23" s="589">
        <f>SUM(I21:I22)</f>
        <v>2786547.0032326868</v>
      </c>
    </row>
    <row r="24" spans="1:9" ht="15" x14ac:dyDescent="0.2">
      <c r="A24" s="489"/>
      <c r="B24" s="587"/>
      <c r="C24" s="587"/>
      <c r="D24" s="587"/>
      <c r="E24" s="587"/>
      <c r="F24" s="587"/>
      <c r="G24" s="587"/>
      <c r="H24" s="587"/>
      <c r="I24" s="587"/>
    </row>
    <row r="25" spans="1:9" ht="15.75" x14ac:dyDescent="0.25">
      <c r="A25" s="491" t="s">
        <v>209</v>
      </c>
      <c r="B25" s="589">
        <f>B8+B18+B23</f>
        <v>60500</v>
      </c>
      <c r="C25" s="589">
        <f t="shared" ref="C25:I25" si="3">C8+C18+C23</f>
        <v>11808021.209419295</v>
      </c>
      <c r="D25" s="589">
        <f t="shared" si="3"/>
        <v>6723706.3167488975</v>
      </c>
      <c r="E25" s="589">
        <f t="shared" si="3"/>
        <v>263242.6978917704</v>
      </c>
      <c r="F25" s="589">
        <f t="shared" si="3"/>
        <v>-188.38332584496675</v>
      </c>
      <c r="G25" s="589">
        <f t="shared" si="3"/>
        <v>-15.828765274288308</v>
      </c>
      <c r="H25" s="589">
        <f t="shared" si="3"/>
        <v>0.49816815997473896</v>
      </c>
      <c r="I25" s="589">
        <f t="shared" si="3"/>
        <v>18855266.510137003</v>
      </c>
    </row>
    <row r="26" spans="1:9" x14ac:dyDescent="0.2">
      <c r="C26" s="166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  <ignoredErrors>
    <ignoredError sqref="C7 D6:I6 C11:I14 B21:B25 C16:I25 D15 B8 F8:I8 F15 H15:I15 D8 E7:I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4</vt:i4>
      </vt:variant>
    </vt:vector>
  </HeadingPairs>
  <TitlesOfParts>
    <vt:vector size="25" baseType="lpstr">
      <vt:lpstr>InfoInicial</vt:lpstr>
      <vt:lpstr>E-Inv AF y Am</vt:lpstr>
      <vt:lpstr>PRODUCCION</vt:lpstr>
      <vt:lpstr>COMER</vt:lpstr>
      <vt:lpstr>ADM</vt:lpstr>
      <vt:lpstr>ACT TRABAJO</vt:lpstr>
      <vt:lpstr>E-Costos</vt:lpstr>
      <vt:lpstr>E-InvAT</vt:lpstr>
      <vt:lpstr>E-Cal Inv.</vt:lpstr>
      <vt:lpstr>E-IVA </vt:lpstr>
      <vt:lpstr>E-Form</vt:lpstr>
      <vt:lpstr>Servicio de CNR</vt:lpstr>
      <vt:lpstr>Servicio de CR</vt:lpstr>
      <vt:lpstr>Gasto financiero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</dc:creator>
  <cp:lastModifiedBy>Brian Bahl</cp:lastModifiedBy>
  <dcterms:created xsi:type="dcterms:W3CDTF">2017-08-31T18:42:14Z</dcterms:created>
  <dcterms:modified xsi:type="dcterms:W3CDTF">2017-09-29T05:58:36Z</dcterms:modified>
</cp:coreProperties>
</file>