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iliano\Dropbox\Facultad\4to Año\Evaluación de Proyectos\EP Grupo 1\2 - Dim. Físico\"/>
    </mc:Choice>
  </mc:AlternateContent>
  <bookViews>
    <workbookView xWindow="0" yWindow="0" windowWidth="16290" windowHeight="6810"/>
  </bookViews>
  <sheets>
    <sheet name="Datos" sheetId="1" r:id="rId1"/>
    <sheet name="Desperdicioes" sheetId="2" state="hidden" r:id="rId2"/>
    <sheet name="Proceso y Materiales" sheetId="4" r:id="rId3"/>
    <sheet name="Capacidad Anual" sheetId="3" r:id="rId4"/>
    <sheet name="Cantidad de Máquinas Operativas" sheetId="5" r:id="rId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C3" i="3" l="1"/>
  <c r="C4" i="3"/>
  <c r="C5" i="3"/>
  <c r="C6" i="3"/>
  <c r="C7" i="3"/>
  <c r="C8" i="3"/>
  <c r="C2" i="3"/>
  <c r="T12" i="1"/>
  <c r="D10" i="1" l="1"/>
  <c r="D9" i="1"/>
  <c r="O9" i="1"/>
  <c r="O10" i="1"/>
  <c r="O11" i="1"/>
  <c r="O12" i="1"/>
  <c r="O13" i="1"/>
  <c r="O14" i="1"/>
  <c r="O8" i="1"/>
  <c r="E12" i="5"/>
  <c r="U5" i="4"/>
  <c r="U3" i="4"/>
  <c r="F4" i="4"/>
  <c r="F5" i="4"/>
  <c r="F6" i="4"/>
  <c r="F3" i="4"/>
  <c r="F15" i="1"/>
  <c r="AD19" i="4"/>
  <c r="K19" i="4"/>
  <c r="AD20" i="4"/>
  <c r="C20" i="4"/>
  <c r="AD17" i="4"/>
  <c r="W17" i="4"/>
  <c r="AD18" i="4"/>
  <c r="W18" i="4"/>
  <c r="AD16" i="4"/>
  <c r="K16" i="4"/>
  <c r="AD15" i="4"/>
  <c r="O15" i="4"/>
  <c r="AD14" i="4"/>
  <c r="AD13" i="4"/>
  <c r="C12" i="4"/>
  <c r="H12" i="4"/>
  <c r="K12" i="4"/>
  <c r="O12" i="4"/>
  <c r="R12" i="4"/>
  <c r="W12" i="4"/>
  <c r="Z12" i="4"/>
  <c r="L10" i="1"/>
  <c r="B4" i="3"/>
  <c r="L9" i="1"/>
  <c r="B3" i="3"/>
  <c r="B7" i="3"/>
  <c r="B5" i="3"/>
  <c r="L11" i="1"/>
  <c r="L12" i="1"/>
  <c r="B6" i="3"/>
  <c r="L13" i="1"/>
  <c r="L14" i="1"/>
  <c r="B8" i="3"/>
  <c r="L8" i="1"/>
  <c r="B2" i="3"/>
  <c r="B3" i="5"/>
  <c r="B5" i="5"/>
  <c r="B6" i="5"/>
  <c r="B7" i="5"/>
  <c r="B8" i="5"/>
  <c r="B2" i="5"/>
  <c r="D6" i="3"/>
  <c r="F6" i="3"/>
  <c r="C6" i="5" s="1"/>
  <c r="D6" i="5" s="1"/>
  <c r="E6" i="5" s="1"/>
  <c r="F6" i="5" s="1"/>
  <c r="D8" i="3"/>
  <c r="F8" i="3" s="1"/>
  <c r="C8" i="5" s="1"/>
  <c r="D8" i="5" s="1"/>
  <c r="E8" i="5" s="1"/>
  <c r="F8" i="5" s="1"/>
  <c r="D7" i="3"/>
  <c r="F7" i="3"/>
  <c r="C7" i="5" s="1"/>
  <c r="D7" i="5" s="1"/>
  <c r="E7" i="5" s="1"/>
  <c r="F7" i="5" s="1"/>
  <c r="D4" i="3"/>
  <c r="F4" i="3"/>
  <c r="C4" i="5" s="1"/>
  <c r="D4" i="5" s="1"/>
  <c r="E4" i="5" s="1"/>
  <c r="F4" i="5" s="1"/>
  <c r="Z20" i="4"/>
  <c r="W19" i="4"/>
  <c r="H19" i="4"/>
  <c r="Z17" i="4"/>
  <c r="R17" i="4"/>
  <c r="H17" i="4"/>
  <c r="H15" i="4"/>
  <c r="C15" i="4"/>
  <c r="W15" i="4"/>
  <c r="R19" i="4"/>
  <c r="C19" i="4"/>
  <c r="O19" i="4"/>
  <c r="Z15" i="4"/>
  <c r="O20" i="4"/>
  <c r="R18" i="4"/>
  <c r="C18" i="4"/>
  <c r="K17" i="4"/>
  <c r="K20" i="4"/>
  <c r="W20" i="4"/>
  <c r="H20" i="4"/>
  <c r="R20" i="4"/>
  <c r="Z19" i="4"/>
  <c r="Z18" i="4"/>
  <c r="Z16" i="4"/>
  <c r="R16" i="4"/>
  <c r="O16" i="4"/>
  <c r="H16" i="4"/>
  <c r="C16" i="4"/>
  <c r="W16" i="4"/>
  <c r="R15" i="4"/>
  <c r="K15" i="4"/>
  <c r="K14" i="4"/>
  <c r="R14" i="4"/>
  <c r="H14" i="4"/>
  <c r="C14" i="4"/>
  <c r="W13" i="4"/>
  <c r="K13" i="4"/>
  <c r="Z13" i="4"/>
  <c r="H13" i="4"/>
  <c r="C13" i="4"/>
  <c r="Z14" i="4"/>
  <c r="W14" i="4"/>
  <c r="O14" i="4"/>
  <c r="O13" i="4"/>
  <c r="R13" i="4"/>
  <c r="D3" i="3"/>
  <c r="F3" i="3"/>
  <c r="C3" i="5" s="1"/>
  <c r="D3" i="5" s="1"/>
  <c r="E3" i="5" s="1"/>
  <c r="D5" i="3"/>
  <c r="F5" i="3" s="1"/>
  <c r="C5" i="5" s="1"/>
  <c r="D5" i="5" s="1"/>
  <c r="E5" i="5" s="1"/>
  <c r="F5" i="5" s="1"/>
  <c r="D2" i="3"/>
  <c r="F2" i="3"/>
  <c r="C2" i="5" s="1"/>
  <c r="D2" i="5" s="1"/>
  <c r="E2" i="5" s="1"/>
  <c r="F2" i="5" s="1"/>
  <c r="C24" i="4"/>
  <c r="C25" i="4"/>
  <c r="C26" i="4"/>
  <c r="C17" i="4"/>
  <c r="O17" i="4"/>
  <c r="C28" i="4"/>
  <c r="C29" i="4"/>
  <c r="H18" i="4"/>
  <c r="K18" i="4"/>
  <c r="O18" i="4"/>
  <c r="C27" i="4"/>
  <c r="F3" i="5" l="1"/>
</calcChain>
</file>

<file path=xl/sharedStrings.xml><?xml version="1.0" encoding="utf-8"?>
<sst xmlns="http://schemas.openxmlformats.org/spreadsheetml/2006/main" count="198" uniqueCount="101">
  <si>
    <t>Datos</t>
  </si>
  <si>
    <t>Cantidades a producir en estado de régimen:</t>
  </si>
  <si>
    <t>100.000 pares/año</t>
  </si>
  <si>
    <t>Talle = 41</t>
  </si>
  <si>
    <t>Secciónes</t>
  </si>
  <si>
    <t>Desperdicios %</t>
  </si>
  <si>
    <t>Materia Prima</t>
  </si>
  <si>
    <t xml:space="preserve">Cantidad </t>
  </si>
  <si>
    <t>Sección</t>
  </si>
  <si>
    <t>Tiempo</t>
  </si>
  <si>
    <t>Ritmo de trabajo</t>
  </si>
  <si>
    <t>No Recuperables</t>
  </si>
  <si>
    <t>Cuero</t>
  </si>
  <si>
    <t>[m2/par]</t>
  </si>
  <si>
    <t>Corte</t>
  </si>
  <si>
    <t>100 pares/4hs</t>
  </si>
  <si>
    <t>=</t>
  </si>
  <si>
    <t>[pares/h]</t>
  </si>
  <si>
    <t>[h/par]</t>
  </si>
  <si>
    <t>Turno de trabajo</t>
  </si>
  <si>
    <t>hs</t>
  </si>
  <si>
    <t>Recorte</t>
  </si>
  <si>
    <t>Forro</t>
  </si>
  <si>
    <t>Costura</t>
  </si>
  <si>
    <t>56 pares/8hs</t>
  </si>
  <si>
    <t>Días del año</t>
  </si>
  <si>
    <t>dias</t>
  </si>
  <si>
    <t>Inyectado</t>
  </si>
  <si>
    <t>Plantillas</t>
  </si>
  <si>
    <t>Cambrado</t>
  </si>
  <si>
    <t>50 pares/8hs</t>
  </si>
  <si>
    <t>Vacaciones</t>
  </si>
  <si>
    <t>Aislante Térmico</t>
  </si>
  <si>
    <t>Raspado</t>
  </si>
  <si>
    <t>1 pares/min</t>
  </si>
  <si>
    <t>Feriados</t>
  </si>
  <si>
    <t>Poliuretano Alta Densidad</t>
  </si>
  <si>
    <t>[kg/par]</t>
  </si>
  <si>
    <t>18 pares/15min</t>
  </si>
  <si>
    <t>Poliuretano Baja Densidad</t>
  </si>
  <si>
    <t>Rebabado y Lustrado</t>
  </si>
  <si>
    <t>1pares/min</t>
  </si>
  <si>
    <t>Puntera</t>
  </si>
  <si>
    <t>[u/par]</t>
  </si>
  <si>
    <t>Empaque</t>
  </si>
  <si>
    <t>1 par / 2 min</t>
  </si>
  <si>
    <t>Cordones</t>
  </si>
  <si>
    <t>[m/par]</t>
  </si>
  <si>
    <t>Proceso Productivo</t>
  </si>
  <si>
    <t>Cuero    Forro Plantilla Aislante</t>
  </si>
  <si>
    <t>Desp</t>
  </si>
  <si>
    <t>0% Desp</t>
  </si>
  <si>
    <t>Aparado</t>
  </si>
  <si>
    <t xml:space="preserve"> Cambradora Colocación de Puntera Confección de la punta</t>
  </si>
  <si>
    <t>Raspado de bordes</t>
  </si>
  <si>
    <t xml:space="preserve">Inyectado </t>
  </si>
  <si>
    <t>Alta Densidad</t>
  </si>
  <si>
    <t>Rebabado y lustrado</t>
  </si>
  <si>
    <t>Baja Densidad</t>
  </si>
  <si>
    <t>Balance Anual de Materiales</t>
  </si>
  <si>
    <t>Item</t>
  </si>
  <si>
    <t>Unidad</t>
  </si>
  <si>
    <t>Cantidad</t>
  </si>
  <si>
    <t>Q PT</t>
  </si>
  <si>
    <t>[par]</t>
  </si>
  <si>
    <t>Q cuero</t>
  </si>
  <si>
    <t>[m2]</t>
  </si>
  <si>
    <t>Q forro</t>
  </si>
  <si>
    <t>Q plantillas</t>
  </si>
  <si>
    <t>Q aislante</t>
  </si>
  <si>
    <t>Q poliuretano AD</t>
  </si>
  <si>
    <t>[Kg]</t>
  </si>
  <si>
    <t>Q poliuretano BD</t>
  </si>
  <si>
    <t>Q punteras</t>
  </si>
  <si>
    <t>[u]</t>
  </si>
  <si>
    <t>Q cordón</t>
  </si>
  <si>
    <t>[m]</t>
  </si>
  <si>
    <t>Tipo</t>
  </si>
  <si>
    <t xml:space="preserve">Desperdicio </t>
  </si>
  <si>
    <t>Desp cuero</t>
  </si>
  <si>
    <t>Desp forro</t>
  </si>
  <si>
    <t>Desp plantillas</t>
  </si>
  <si>
    <t>Desp aislante</t>
  </si>
  <si>
    <t>Desp poliuretano AD</t>
  </si>
  <si>
    <t>Desp poliuretano BD</t>
  </si>
  <si>
    <t>Secciones Operativas</t>
  </si>
  <si>
    <t>Capacidad teórica / (puesto x año)</t>
  </si>
  <si>
    <t>horas activas / año</t>
  </si>
  <si>
    <t>Capacidad teórica / (máquina x año)</t>
  </si>
  <si>
    <t>rendimiento operativo</t>
  </si>
  <si>
    <t>Capacidad real / (máquina x año)</t>
  </si>
  <si>
    <t>(siempre considerando 1 máquina tipo en cada puesto de trabajo)</t>
  </si>
  <si>
    <t>Programa anual de producción</t>
  </si>
  <si>
    <t>Cantidad maquinas necesarias</t>
  </si>
  <si>
    <t>Capacidad Real / (sección x año)</t>
  </si>
  <si>
    <t>Aprovechamiento</t>
  </si>
  <si>
    <t xml:space="preserve">El cuello de botella será la sección operativa de mayor aprovechamiento, por lo tanto: </t>
  </si>
  <si>
    <t>A partir de esto, se entiende que la capacidad de producción anual máxima estará limitada por la sección operativa de costura funcionando al 100%, lo que nos dá como resultado:</t>
  </si>
  <si>
    <t>pares/año</t>
  </si>
  <si>
    <t>Fines de semana</t>
  </si>
  <si>
    <t>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</si>
</sst>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0.000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2" fillId="0" borderId="0" xfId="0" applyFont="1" applyBorder="1"/>
    <xf numFmtId="0" fontId="1" fillId="0" borderId="11" xfId="0" applyFont="1" applyBorder="1"/>
    <xf numFmtId="0" fontId="2" fillId="0" borderId="1" xfId="0" applyFont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/>
    <xf numFmtId="0" fontId="1" fillId="0" borderId="10" xfId="0" applyFont="1" applyBorder="1"/>
    <xf numFmtId="0" fontId="1" fillId="0" borderId="8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0" xfId="0" applyFont="1"/>
    <xf numFmtId="3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2" fontId="1" fillId="0" borderId="1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167" fontId="1" fillId="0" borderId="9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166" fontId="1" fillId="0" borderId="0" xfId="0" applyNumberFormat="1" applyFont="1" applyBorder="1" applyAlignment="1"/>
    <xf numFmtId="3" fontId="1" fillId="0" borderId="9" xfId="2" applyNumberFormat="1" applyFont="1" applyBorder="1" applyAlignment="1">
      <alignment horizontal="center"/>
    </xf>
    <xf numFmtId="3" fontId="1" fillId="0" borderId="10" xfId="2" applyNumberFormat="1" applyFont="1" applyBorder="1" applyAlignment="1">
      <alignment horizontal="center"/>
    </xf>
    <xf numFmtId="3" fontId="1" fillId="0" borderId="8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167" fontId="1" fillId="0" borderId="9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9" fontId="1" fillId="0" borderId="9" xfId="2" applyFont="1" applyFill="1" applyBorder="1" applyAlignment="1">
      <alignment horizontal="center"/>
    </xf>
    <xf numFmtId="167" fontId="2" fillId="0" borderId="9" xfId="0" applyNumberFormat="1" applyFont="1" applyFill="1" applyBorder="1" applyAlignment="1">
      <alignment horizontal="center"/>
    </xf>
    <xf numFmtId="167" fontId="1" fillId="0" borderId="10" xfId="0" applyNumberFormat="1" applyFont="1" applyFill="1" applyBorder="1" applyAlignment="1">
      <alignment horizontal="center"/>
    </xf>
    <xf numFmtId="167" fontId="1" fillId="0" borderId="7" xfId="0" applyNumberFormat="1" applyFont="1" applyFill="1" applyBorder="1" applyAlignment="1">
      <alignment horizontal="center"/>
    </xf>
    <xf numFmtId="9" fontId="1" fillId="0" borderId="10" xfId="2" applyFont="1" applyFill="1" applyBorder="1" applyAlignment="1">
      <alignment horizontal="center"/>
    </xf>
    <xf numFmtId="167" fontId="2" fillId="0" borderId="10" xfId="0" applyNumberFormat="1" applyFont="1" applyFill="1" applyBorder="1" applyAlignment="1">
      <alignment horizontal="center"/>
    </xf>
    <xf numFmtId="167" fontId="1" fillId="0" borderId="8" xfId="0" applyNumberFormat="1" applyFont="1" applyFill="1" applyBorder="1" applyAlignment="1">
      <alignment horizontal="center"/>
    </xf>
    <xf numFmtId="167" fontId="1" fillId="0" borderId="4" xfId="0" applyNumberFormat="1" applyFont="1" applyFill="1" applyBorder="1" applyAlignment="1">
      <alignment horizontal="center"/>
    </xf>
    <xf numFmtId="9" fontId="1" fillId="0" borderId="8" xfId="2" applyFont="1" applyFill="1" applyBorder="1" applyAlignment="1">
      <alignment horizontal="center"/>
    </xf>
    <xf numFmtId="167" fontId="2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Border="1"/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2" applyNumberFormat="1" applyFont="1" applyBorder="1" applyAlignment="1">
      <alignment horizontal="center" vertical="center" wrapText="1"/>
    </xf>
    <xf numFmtId="164" fontId="1" fillId="0" borderId="7" xfId="2" applyNumberFormat="1" applyFont="1" applyBorder="1" applyAlignment="1">
      <alignment horizontal="center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0" fontId="1" fillId="0" borderId="4" xfId="0" applyFont="1" applyBorder="1"/>
    <xf numFmtId="167" fontId="1" fillId="0" borderId="3" xfId="0" applyNumberFormat="1" applyFont="1" applyFill="1" applyBorder="1" applyAlignment="1">
      <alignment horizontal="center"/>
    </xf>
    <xf numFmtId="167" fontId="1" fillId="0" borderId="11" xfId="0" applyNumberFormat="1" applyFont="1" applyFill="1" applyBorder="1" applyAlignment="1">
      <alignment horizontal="center"/>
    </xf>
    <xf numFmtId="167" fontId="1" fillId="0" borderId="6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 wrapText="1"/>
    </xf>
    <xf numFmtId="164" fontId="1" fillId="0" borderId="7" xfId="2" applyNumberFormat="1" applyFont="1" applyBorder="1" applyAlignment="1">
      <alignment horizontal="center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E21" sqref="E21"/>
    </sheetView>
  </sheetViews>
  <sheetFormatPr baseColWidth="10" defaultColWidth="11.42578125" defaultRowHeight="15.75" x14ac:dyDescent="0.25"/>
  <cols>
    <col min="1" max="4" width="11.42578125" style="1"/>
    <col min="5" max="5" width="25.42578125" style="2" bestFit="1" customWidth="1"/>
    <col min="6" max="6" width="10.28515625" style="2" customWidth="1"/>
    <col min="7" max="7" width="10.42578125" style="2" customWidth="1"/>
    <col min="8" max="8" width="11.42578125" style="1"/>
    <col min="9" max="9" width="20.5703125" style="1" bestFit="1" customWidth="1"/>
    <col min="10" max="10" width="16.140625" style="1" customWidth="1"/>
    <col min="11" max="11" width="2.85546875" style="1" customWidth="1"/>
    <col min="12" max="12" width="7.5703125" style="1" customWidth="1"/>
    <col min="13" max="13" width="10.85546875" style="1" customWidth="1"/>
    <col min="14" max="14" width="2.85546875" style="1" customWidth="1"/>
    <col min="15" max="15" width="7.5703125" style="1" customWidth="1"/>
    <col min="16" max="16" width="8.5703125" style="1" customWidth="1"/>
    <col min="17" max="19" width="11.42578125" style="1"/>
    <col min="20" max="20" width="5.42578125" style="1" customWidth="1"/>
    <col min="21" max="21" width="5.7109375" style="1" customWidth="1"/>
    <col min="22" max="16384" width="11.42578125" style="1"/>
  </cols>
  <sheetData>
    <row r="1" spans="1:21" ht="23.25" x14ac:dyDescent="0.35">
      <c r="A1" s="22" t="s">
        <v>0</v>
      </c>
      <c r="E1" s="112"/>
      <c r="F1" s="112"/>
      <c r="G1" s="112"/>
    </row>
    <row r="2" spans="1:21" x14ac:dyDescent="0.25">
      <c r="E2" s="112"/>
      <c r="F2" s="112"/>
      <c r="G2" s="112"/>
    </row>
    <row r="3" spans="1:21" ht="18.75" x14ac:dyDescent="0.3">
      <c r="A3" s="129" t="s">
        <v>1</v>
      </c>
      <c r="B3" s="129"/>
      <c r="C3" s="129"/>
      <c r="D3" s="129"/>
      <c r="E3" s="130" t="s">
        <v>2</v>
      </c>
      <c r="F3" s="130"/>
      <c r="G3" s="112"/>
    </row>
    <row r="5" spans="1:21" ht="18.75" x14ac:dyDescent="0.3">
      <c r="A5" s="15" t="s">
        <v>3</v>
      </c>
      <c r="E5" s="112"/>
      <c r="F5" s="112"/>
      <c r="G5" s="112"/>
    </row>
    <row r="6" spans="1:21" ht="16.5" thickBot="1" x14ac:dyDescent="0.3">
      <c r="E6" s="112"/>
      <c r="F6" s="112"/>
      <c r="G6" s="112"/>
    </row>
    <row r="7" spans="1:21" ht="16.5" thickBot="1" x14ac:dyDescent="0.3">
      <c r="A7" s="131" t="s">
        <v>4</v>
      </c>
      <c r="B7" s="131" t="s">
        <v>5</v>
      </c>
      <c r="C7" s="133"/>
      <c r="E7" s="29" t="s">
        <v>6</v>
      </c>
      <c r="F7" s="125" t="s">
        <v>7</v>
      </c>
      <c r="G7" s="126"/>
      <c r="I7" s="110" t="s">
        <v>8</v>
      </c>
      <c r="J7" s="120" t="s">
        <v>9</v>
      </c>
      <c r="K7" s="121"/>
      <c r="L7" s="121"/>
      <c r="M7" s="121"/>
      <c r="N7" s="121"/>
      <c r="O7" s="121"/>
      <c r="P7" s="122"/>
      <c r="R7" s="140" t="s">
        <v>10</v>
      </c>
      <c r="S7" s="141"/>
      <c r="T7" s="141"/>
      <c r="U7" s="142"/>
    </row>
    <row r="8" spans="1:21" ht="16.5" thickBot="1" x14ac:dyDescent="0.3">
      <c r="A8" s="132"/>
      <c r="B8" s="134" t="s">
        <v>11</v>
      </c>
      <c r="C8" s="135"/>
      <c r="E8" s="33" t="s">
        <v>12</v>
      </c>
      <c r="F8" s="73">
        <v>0.184</v>
      </c>
      <c r="G8" s="74" t="s">
        <v>13</v>
      </c>
      <c r="H8" s="8"/>
      <c r="I8" s="106" t="s">
        <v>14</v>
      </c>
      <c r="J8" s="104" t="s">
        <v>15</v>
      </c>
      <c r="K8" s="46" t="s">
        <v>16</v>
      </c>
      <c r="L8" s="54">
        <f>100/4</f>
        <v>25</v>
      </c>
      <c r="M8" s="101" t="s">
        <v>17</v>
      </c>
      <c r="N8" s="46" t="s">
        <v>16</v>
      </c>
      <c r="O8" s="46">
        <f>1/L8</f>
        <v>0.04</v>
      </c>
      <c r="P8" s="105" t="s">
        <v>18</v>
      </c>
      <c r="R8" s="136" t="s">
        <v>19</v>
      </c>
      <c r="S8" s="137"/>
      <c r="T8" s="51">
        <v>8</v>
      </c>
      <c r="U8" s="3" t="s">
        <v>20</v>
      </c>
    </row>
    <row r="9" spans="1:21" x14ac:dyDescent="0.25">
      <c r="A9" s="104" t="s">
        <v>21</v>
      </c>
      <c r="B9" s="127">
        <v>8.6999999999999994E-2</v>
      </c>
      <c r="C9" s="128"/>
      <c r="D9" s="103">
        <f>B9</f>
        <v>8.6999999999999994E-2</v>
      </c>
      <c r="E9" s="44" t="s">
        <v>22</v>
      </c>
      <c r="F9" s="71">
        <v>0.184</v>
      </c>
      <c r="G9" s="75" t="s">
        <v>13</v>
      </c>
      <c r="H9" s="8"/>
      <c r="I9" s="106" t="s">
        <v>23</v>
      </c>
      <c r="J9" s="106" t="s">
        <v>24</v>
      </c>
      <c r="K9" s="11" t="s">
        <v>16</v>
      </c>
      <c r="L9" s="55">
        <f>56/8</f>
        <v>7</v>
      </c>
      <c r="M9" s="32" t="s">
        <v>17</v>
      </c>
      <c r="N9" s="11" t="s">
        <v>16</v>
      </c>
      <c r="O9" s="55">
        <f t="shared" ref="O9:O14" si="0">1/L9</f>
        <v>0.14285714285714285</v>
      </c>
      <c r="P9" s="107" t="s">
        <v>18</v>
      </c>
      <c r="R9" s="138" t="s">
        <v>25</v>
      </c>
      <c r="S9" s="139"/>
      <c r="T9" s="27">
        <v>365</v>
      </c>
      <c r="U9" s="5" t="s">
        <v>26</v>
      </c>
    </row>
    <row r="10" spans="1:21" ht="16.5" thickBot="1" x14ac:dyDescent="0.3">
      <c r="A10" s="108" t="s">
        <v>27</v>
      </c>
      <c r="B10" s="123">
        <v>7.0000000000000001E-3</v>
      </c>
      <c r="C10" s="124"/>
      <c r="D10" s="103">
        <f>B10</f>
        <v>7.0000000000000001E-3</v>
      </c>
      <c r="E10" s="44" t="s">
        <v>28</v>
      </c>
      <c r="F10" s="71">
        <v>3.3119999999999997E-2</v>
      </c>
      <c r="G10" s="75" t="s">
        <v>13</v>
      </c>
      <c r="H10" s="11"/>
      <c r="I10" s="106" t="s">
        <v>29</v>
      </c>
      <c r="J10" s="106" t="s">
        <v>30</v>
      </c>
      <c r="K10" s="11" t="s">
        <v>16</v>
      </c>
      <c r="L10" s="55">
        <f>50/8</f>
        <v>6.25</v>
      </c>
      <c r="M10" s="32" t="s">
        <v>17</v>
      </c>
      <c r="N10" s="11" t="s">
        <v>16</v>
      </c>
      <c r="O10" s="11">
        <f t="shared" si="0"/>
        <v>0.16</v>
      </c>
      <c r="P10" s="107" t="s">
        <v>18</v>
      </c>
      <c r="R10" s="138" t="s">
        <v>31</v>
      </c>
      <c r="S10" s="139"/>
      <c r="T10" s="27">
        <v>15</v>
      </c>
      <c r="U10" s="5" t="s">
        <v>26</v>
      </c>
    </row>
    <row r="11" spans="1:21" x14ac:dyDescent="0.25">
      <c r="A11" s="112"/>
      <c r="B11" s="112"/>
      <c r="C11" s="112"/>
      <c r="E11" s="44" t="s">
        <v>32</v>
      </c>
      <c r="F11" s="71">
        <v>0.184</v>
      </c>
      <c r="G11" s="75" t="s">
        <v>13</v>
      </c>
      <c r="I11" s="106" t="s">
        <v>33</v>
      </c>
      <c r="J11" s="106" t="s">
        <v>34</v>
      </c>
      <c r="K11" s="11" t="s">
        <v>16</v>
      </c>
      <c r="L11" s="11">
        <f>60*1</f>
        <v>60</v>
      </c>
      <c r="M11" s="32" t="s">
        <v>17</v>
      </c>
      <c r="N11" s="11" t="s">
        <v>16</v>
      </c>
      <c r="O11" s="71">
        <f t="shared" si="0"/>
        <v>1.6666666666666666E-2</v>
      </c>
      <c r="P11" s="107" t="s">
        <v>18</v>
      </c>
      <c r="R11" s="138" t="s">
        <v>35</v>
      </c>
      <c r="S11" s="139"/>
      <c r="T11" s="27">
        <v>15</v>
      </c>
      <c r="U11" s="5" t="s">
        <v>26</v>
      </c>
    </row>
    <row r="12" spans="1:21" ht="16.5" thickBot="1" x14ac:dyDescent="0.3">
      <c r="A12" s="112"/>
      <c r="B12" s="112"/>
      <c r="C12" s="112"/>
      <c r="E12" s="44" t="s">
        <v>36</v>
      </c>
      <c r="F12" s="71">
        <v>0.248</v>
      </c>
      <c r="G12" s="75" t="s">
        <v>37</v>
      </c>
      <c r="I12" s="106" t="s">
        <v>27</v>
      </c>
      <c r="J12" s="106" t="s">
        <v>38</v>
      </c>
      <c r="K12" s="11" t="s">
        <v>16</v>
      </c>
      <c r="L12" s="11">
        <f>18/15*60</f>
        <v>72</v>
      </c>
      <c r="M12" s="32" t="s">
        <v>17</v>
      </c>
      <c r="N12" s="11" t="s">
        <v>16</v>
      </c>
      <c r="O12" s="71">
        <f t="shared" si="0"/>
        <v>1.3888888888888888E-2</v>
      </c>
      <c r="P12" s="107" t="s">
        <v>18</v>
      </c>
      <c r="R12" s="116" t="s">
        <v>99</v>
      </c>
      <c r="S12" s="7"/>
      <c r="T12" s="25">
        <f>106</f>
        <v>106</v>
      </c>
      <c r="U12" s="7" t="s">
        <v>100</v>
      </c>
    </row>
    <row r="13" spans="1:21" x14ac:dyDescent="0.25">
      <c r="A13" s="112"/>
      <c r="B13" s="112"/>
      <c r="C13" s="112"/>
      <c r="E13" s="44" t="s">
        <v>39</v>
      </c>
      <c r="F13" s="71">
        <v>0.44700000000000001</v>
      </c>
      <c r="G13" s="75" t="s">
        <v>37</v>
      </c>
      <c r="I13" s="106" t="s">
        <v>40</v>
      </c>
      <c r="J13" s="106" t="s">
        <v>41</v>
      </c>
      <c r="K13" s="11" t="s">
        <v>16</v>
      </c>
      <c r="L13" s="11">
        <f>60*1</f>
        <v>60</v>
      </c>
      <c r="M13" s="32" t="s">
        <v>17</v>
      </c>
      <c r="N13" s="11" t="s">
        <v>16</v>
      </c>
      <c r="O13" s="71">
        <f t="shared" si="0"/>
        <v>1.6666666666666666E-2</v>
      </c>
      <c r="P13" s="107" t="s">
        <v>18</v>
      </c>
    </row>
    <row r="14" spans="1:21" ht="16.5" thickBot="1" x14ac:dyDescent="0.3">
      <c r="E14" s="44" t="s">
        <v>42</v>
      </c>
      <c r="F14" s="72">
        <v>2</v>
      </c>
      <c r="G14" s="75" t="s">
        <v>43</v>
      </c>
      <c r="I14" s="108" t="s">
        <v>44</v>
      </c>
      <c r="J14" s="108" t="s">
        <v>45</v>
      </c>
      <c r="K14" s="45" t="s">
        <v>16</v>
      </c>
      <c r="L14" s="57">
        <f>1/2*60</f>
        <v>30</v>
      </c>
      <c r="M14" s="102" t="s">
        <v>17</v>
      </c>
      <c r="N14" s="45" t="s">
        <v>16</v>
      </c>
      <c r="O14" s="57">
        <f t="shared" si="0"/>
        <v>3.3333333333333333E-2</v>
      </c>
      <c r="P14" s="109" t="s">
        <v>18</v>
      </c>
    </row>
    <row r="15" spans="1:21" ht="16.5" thickBot="1" x14ac:dyDescent="0.3">
      <c r="E15" s="56" t="s">
        <v>46</v>
      </c>
      <c r="F15" s="57">
        <f>2*0.85</f>
        <v>1.7</v>
      </c>
      <c r="G15" s="76" t="s">
        <v>47</v>
      </c>
      <c r="I15" s="47"/>
      <c r="J15" s="100"/>
      <c r="K15" s="8"/>
      <c r="L15" s="8"/>
      <c r="M15" s="8"/>
      <c r="N15" s="8"/>
      <c r="O15" s="8"/>
      <c r="P15" s="8"/>
    </row>
    <row r="17" spans="1:20" x14ac:dyDescent="0.25">
      <c r="D17" s="8"/>
      <c r="E17" s="11"/>
      <c r="F17" s="11"/>
      <c r="G17" s="11"/>
      <c r="H17" s="8"/>
    </row>
    <row r="18" spans="1:20" x14ac:dyDescent="0.25">
      <c r="D18" s="8"/>
      <c r="E18" s="32"/>
      <c r="F18" s="65"/>
      <c r="G18" s="36"/>
      <c r="H18" s="8"/>
    </row>
    <row r="19" spans="1:20" x14ac:dyDescent="0.25">
      <c r="D19" s="8"/>
      <c r="E19" s="11"/>
      <c r="F19" s="11"/>
      <c r="G19" s="11"/>
      <c r="H19" s="8"/>
    </row>
    <row r="20" spans="1:20" x14ac:dyDescent="0.25">
      <c r="D20" s="8"/>
      <c r="E20" s="8"/>
      <c r="F20" s="8"/>
      <c r="G20" s="8"/>
      <c r="H20" s="8"/>
      <c r="M20" s="26"/>
      <c r="N20" s="26"/>
      <c r="O20" s="26"/>
      <c r="P20" s="26"/>
      <c r="S20" s="112"/>
    </row>
    <row r="21" spans="1:20" x14ac:dyDescent="0.25">
      <c r="D21" s="8"/>
      <c r="E21" s="8"/>
      <c r="F21" s="8"/>
      <c r="G21" s="8"/>
      <c r="H21" s="8"/>
      <c r="M21" s="26"/>
      <c r="N21" s="26"/>
      <c r="O21" s="26"/>
      <c r="P21" s="26"/>
    </row>
    <row r="22" spans="1:20" x14ac:dyDescent="0.25">
      <c r="A22" s="112"/>
      <c r="B22" s="112"/>
      <c r="C22" s="112"/>
      <c r="D22" s="112"/>
      <c r="E22" s="21"/>
      <c r="F22" s="21"/>
      <c r="G22" s="21"/>
      <c r="H22" s="21"/>
      <c r="I22" s="21"/>
      <c r="J22" s="21"/>
      <c r="K22" s="21"/>
      <c r="L22" s="112"/>
      <c r="M22" s="26"/>
      <c r="N22" s="26"/>
      <c r="O22" s="26"/>
      <c r="P22" s="26"/>
      <c r="Q22" s="112"/>
      <c r="R22" s="21"/>
      <c r="S22" s="112"/>
      <c r="T22" s="112"/>
    </row>
    <row r="23" spans="1:20" x14ac:dyDescent="0.25">
      <c r="E23" s="1"/>
      <c r="F23" s="1"/>
      <c r="G23" s="1"/>
      <c r="M23" s="26"/>
      <c r="N23" s="26"/>
      <c r="O23" s="26"/>
      <c r="P23" s="26"/>
    </row>
  </sheetData>
  <mergeCells count="14">
    <mergeCell ref="R8:S8"/>
    <mergeCell ref="R9:S9"/>
    <mergeCell ref="R10:S10"/>
    <mergeCell ref="R11:S11"/>
    <mergeCell ref="R7:U7"/>
    <mergeCell ref="J7:P7"/>
    <mergeCell ref="B10:C10"/>
    <mergeCell ref="F7:G7"/>
    <mergeCell ref="B9:C9"/>
    <mergeCell ref="A3:D3"/>
    <mergeCell ref="E3:F3"/>
    <mergeCell ref="A7:A8"/>
    <mergeCell ref="B7:C7"/>
    <mergeCell ref="B8:C8"/>
  </mergeCells>
  <pageMargins left="0.7" right="0.7" top="0.75" bottom="0.75" header="0.3" footer="0.3"/>
  <pageSetup paperSize="9" orientation="portrait" horizontalDpi="0" verticalDpi="0" r:id="rId1"/>
  <ignoredErrors>
    <ignoredError sqref="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Normal="100" workbookViewId="0">
      <selection activeCell="AA29" sqref="AA29"/>
    </sheetView>
  </sheetViews>
  <sheetFormatPr baseColWidth="10" defaultColWidth="11.42578125" defaultRowHeight="15.75" x14ac:dyDescent="0.25"/>
  <cols>
    <col min="1" max="1" width="20.7109375" style="1" customWidth="1"/>
    <col min="2" max="2" width="8" style="1" customWidth="1"/>
    <col min="3" max="3" width="13.85546875" style="1" customWidth="1"/>
    <col min="4" max="4" width="13" style="1" customWidth="1"/>
    <col min="5" max="5" width="11.42578125" style="1"/>
    <col min="6" max="7" width="5.7109375" style="1" customWidth="1"/>
    <col min="8" max="11" width="14.28515625" style="1" customWidth="1"/>
    <col min="12" max="12" width="13" style="1" customWidth="1"/>
    <col min="13" max="13" width="22.5703125" style="1" bestFit="1" customWidth="1"/>
    <col min="14" max="14" width="11.42578125" style="1" customWidth="1"/>
    <col min="15" max="15" width="14.28515625" style="1" customWidth="1"/>
    <col min="16" max="16" width="12.85546875" style="1" customWidth="1"/>
    <col min="17" max="17" width="11.42578125" style="1" customWidth="1"/>
    <col min="18" max="18" width="14.28515625" style="1" customWidth="1"/>
    <col min="19" max="19" width="13" style="1" bestFit="1" customWidth="1"/>
    <col min="20" max="20" width="14.42578125" style="26" bestFit="1" customWidth="1"/>
    <col min="21" max="21" width="5.7109375" style="26" customWidth="1"/>
    <col min="22" max="22" width="5.7109375" style="1" customWidth="1"/>
    <col min="23" max="23" width="14.28515625" style="1" customWidth="1"/>
    <col min="24" max="24" width="12.85546875" style="1" customWidth="1"/>
    <col min="25" max="25" width="11.42578125" style="1" customWidth="1"/>
    <col min="26" max="26" width="14.28515625" style="1" customWidth="1"/>
    <col min="27" max="27" width="12.85546875" style="1" customWidth="1"/>
    <col min="28" max="28" width="20.5703125" style="1" customWidth="1"/>
    <col min="29" max="29" width="8" style="1" customWidth="1"/>
    <col min="30" max="30" width="13.7109375" style="1" customWidth="1"/>
    <col min="31" max="31" width="8.140625" style="1" customWidth="1"/>
    <col min="32" max="32" width="17.5703125" style="1" bestFit="1" customWidth="1"/>
    <col min="33" max="16384" width="11.42578125" style="1"/>
  </cols>
  <sheetData>
    <row r="1" spans="1:31" ht="21" x14ac:dyDescent="0.35">
      <c r="A1" s="143" t="s">
        <v>48</v>
      </c>
      <c r="B1" s="143"/>
      <c r="C1" s="143"/>
    </row>
    <row r="2" spans="1:31" ht="16.5" thickBot="1" x14ac:dyDescent="0.3"/>
    <row r="3" spans="1:31" ht="19.5" customHeight="1" x14ac:dyDescent="0.25">
      <c r="A3" s="12"/>
      <c r="B3" s="12"/>
      <c r="C3" s="12"/>
      <c r="D3" s="159" t="s">
        <v>21</v>
      </c>
      <c r="E3" s="156" t="s">
        <v>49</v>
      </c>
      <c r="F3" s="113">
        <f>Datos!$B$9</f>
        <v>8.6999999999999994E-2</v>
      </c>
      <c r="G3" s="3" t="s">
        <v>50</v>
      </c>
      <c r="I3" s="159" t="s">
        <v>23</v>
      </c>
      <c r="J3" s="162" t="s">
        <v>51</v>
      </c>
      <c r="L3" s="159" t="s">
        <v>52</v>
      </c>
      <c r="M3" s="153" t="s">
        <v>53</v>
      </c>
      <c r="N3" s="162" t="s">
        <v>51</v>
      </c>
      <c r="P3" s="144" t="s">
        <v>54</v>
      </c>
      <c r="Q3" s="147" t="s">
        <v>51</v>
      </c>
      <c r="S3" s="159" t="s">
        <v>55</v>
      </c>
      <c r="T3" s="156" t="s">
        <v>56</v>
      </c>
      <c r="U3" s="168">
        <f>Datos!$B$10</f>
        <v>7.0000000000000001E-3</v>
      </c>
      <c r="V3" s="165" t="s">
        <v>50</v>
      </c>
      <c r="X3" s="144" t="s">
        <v>57</v>
      </c>
      <c r="Y3" s="147" t="s">
        <v>51</v>
      </c>
      <c r="AA3" s="150" t="s">
        <v>44</v>
      </c>
      <c r="AB3" s="23"/>
      <c r="AC3" s="23"/>
    </row>
    <row r="4" spans="1:31" ht="15.75" customHeight="1" x14ac:dyDescent="0.25">
      <c r="D4" s="160"/>
      <c r="E4" s="157"/>
      <c r="F4" s="114">
        <f>Datos!$B$9</f>
        <v>8.6999999999999994E-2</v>
      </c>
      <c r="G4" s="5" t="s">
        <v>50</v>
      </c>
      <c r="I4" s="160"/>
      <c r="J4" s="163"/>
      <c r="L4" s="160"/>
      <c r="M4" s="154"/>
      <c r="N4" s="163"/>
      <c r="P4" s="145"/>
      <c r="Q4" s="148"/>
      <c r="S4" s="160"/>
      <c r="T4" s="157"/>
      <c r="U4" s="169"/>
      <c r="V4" s="166"/>
      <c r="X4" s="145"/>
      <c r="Y4" s="148"/>
      <c r="AA4" s="151"/>
      <c r="AB4" s="23"/>
      <c r="AC4" s="23"/>
    </row>
    <row r="5" spans="1:31" ht="19.5" customHeight="1" x14ac:dyDescent="0.25">
      <c r="D5" s="160"/>
      <c r="E5" s="157"/>
      <c r="F5" s="114">
        <f>Datos!$B$9</f>
        <v>8.6999999999999994E-2</v>
      </c>
      <c r="G5" s="5" t="s">
        <v>50</v>
      </c>
      <c r="I5" s="160"/>
      <c r="J5" s="163"/>
      <c r="L5" s="160"/>
      <c r="M5" s="154"/>
      <c r="N5" s="163"/>
      <c r="P5" s="145"/>
      <c r="Q5" s="148"/>
      <c r="S5" s="160"/>
      <c r="T5" s="157" t="s">
        <v>58</v>
      </c>
      <c r="U5" s="169">
        <f>Datos!$B$10</f>
        <v>7.0000000000000001E-3</v>
      </c>
      <c r="V5" s="166" t="s">
        <v>50</v>
      </c>
      <c r="X5" s="145"/>
      <c r="Y5" s="148"/>
      <c r="AA5" s="151"/>
      <c r="AB5" s="23"/>
      <c r="AC5" s="23"/>
    </row>
    <row r="6" spans="1:31" ht="19.5" customHeight="1" thickBot="1" x14ac:dyDescent="0.3">
      <c r="D6" s="161"/>
      <c r="E6" s="158"/>
      <c r="F6" s="115">
        <f>Datos!$B$9</f>
        <v>8.6999999999999994E-2</v>
      </c>
      <c r="G6" s="7" t="s">
        <v>50</v>
      </c>
      <c r="I6" s="161"/>
      <c r="J6" s="164"/>
      <c r="L6" s="161"/>
      <c r="M6" s="155"/>
      <c r="N6" s="164"/>
      <c r="P6" s="146"/>
      <c r="Q6" s="149"/>
      <c r="S6" s="161"/>
      <c r="T6" s="158"/>
      <c r="U6" s="170"/>
      <c r="V6" s="167"/>
      <c r="X6" s="146"/>
      <c r="Y6" s="149"/>
      <c r="AA6" s="152"/>
      <c r="AB6" s="23"/>
      <c r="AC6" s="23"/>
      <c r="AD6" s="14"/>
    </row>
    <row r="7" spans="1:31" x14ac:dyDescent="0.25">
      <c r="D7" s="4"/>
      <c r="E7" s="8"/>
      <c r="F7" s="8"/>
      <c r="G7" s="8"/>
      <c r="L7" s="9"/>
      <c r="M7" s="9"/>
      <c r="N7" s="9"/>
      <c r="AD7" s="14"/>
    </row>
    <row r="8" spans="1:31" s="2" customFormat="1" x14ac:dyDescent="0.25">
      <c r="A8" s="13"/>
      <c r="B8" s="13"/>
      <c r="C8" s="13"/>
      <c r="D8" s="11"/>
      <c r="E8" s="11"/>
      <c r="F8" s="11"/>
      <c r="G8" s="112"/>
      <c r="H8" s="112"/>
      <c r="I8" s="112"/>
      <c r="J8" s="112"/>
      <c r="K8" s="112"/>
      <c r="L8" s="21"/>
      <c r="M8" s="28"/>
      <c r="N8" s="28"/>
      <c r="O8" s="21"/>
      <c r="P8" s="21"/>
      <c r="Q8" s="21"/>
      <c r="R8" s="21"/>
      <c r="S8" s="112"/>
      <c r="T8" s="26"/>
      <c r="U8" s="26"/>
      <c r="V8" s="112"/>
      <c r="W8" s="21"/>
      <c r="X8" s="112"/>
      <c r="Y8" s="112"/>
      <c r="Z8" s="21"/>
      <c r="AA8" s="112"/>
      <c r="AB8" s="112"/>
      <c r="AC8" s="112"/>
      <c r="AD8" s="18"/>
      <c r="AE8" s="112"/>
    </row>
    <row r="9" spans="1:31" ht="21" x14ac:dyDescent="0.35">
      <c r="A9" s="143" t="s">
        <v>59</v>
      </c>
      <c r="B9" s="143"/>
      <c r="C9" s="143"/>
      <c r="D9" s="9"/>
      <c r="E9" s="8"/>
      <c r="F9" s="8"/>
      <c r="M9" s="9"/>
      <c r="N9" s="8"/>
    </row>
    <row r="10" spans="1:31" ht="16.5" thickBot="1" x14ac:dyDescent="0.3">
      <c r="H10" s="112"/>
      <c r="I10" s="112"/>
      <c r="J10" s="112"/>
      <c r="K10" s="112"/>
      <c r="L10" s="112"/>
      <c r="M10" s="11"/>
      <c r="N10" s="11"/>
      <c r="O10" s="112"/>
      <c r="P10" s="112"/>
      <c r="Q10" s="112"/>
      <c r="R10" s="20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"/>
      <c r="AE10" s="11"/>
    </row>
    <row r="11" spans="1:31" ht="16.5" thickBot="1" x14ac:dyDescent="0.3">
      <c r="A11" s="10" t="s">
        <v>60</v>
      </c>
      <c r="B11" s="10" t="s">
        <v>61</v>
      </c>
      <c r="C11" s="111" t="s">
        <v>62</v>
      </c>
      <c r="H11" s="10" t="s">
        <v>62</v>
      </c>
      <c r="I11" s="31"/>
      <c r="J11" s="31"/>
      <c r="K11" s="10" t="s">
        <v>62</v>
      </c>
      <c r="L11" s="112"/>
      <c r="M11" s="11"/>
      <c r="N11" s="11"/>
      <c r="O11" s="10" t="s">
        <v>62</v>
      </c>
      <c r="P11" s="112"/>
      <c r="Q11" s="112"/>
      <c r="R11" s="29" t="s">
        <v>62</v>
      </c>
      <c r="S11" s="112"/>
      <c r="T11" s="112"/>
      <c r="U11" s="112"/>
      <c r="V11" s="112"/>
      <c r="W11" s="29" t="s">
        <v>62</v>
      </c>
      <c r="X11" s="112"/>
      <c r="Y11" s="112"/>
      <c r="Z11" s="29" t="s">
        <v>62</v>
      </c>
      <c r="AA11" s="112"/>
      <c r="AB11" s="10" t="s">
        <v>60</v>
      </c>
      <c r="AC11" s="10" t="s">
        <v>61</v>
      </c>
      <c r="AD11" s="10" t="s">
        <v>62</v>
      </c>
    </row>
    <row r="12" spans="1:31" x14ac:dyDescent="0.25">
      <c r="A12" s="33" t="s">
        <v>63</v>
      </c>
      <c r="B12" s="46" t="s">
        <v>64</v>
      </c>
      <c r="C12" s="38">
        <f>$AD12</f>
        <v>100000</v>
      </c>
      <c r="D12" s="34"/>
      <c r="E12" s="34"/>
      <c r="F12" s="34"/>
      <c r="G12" s="34"/>
      <c r="H12" s="41">
        <f>$AD12</f>
        <v>100000</v>
      </c>
      <c r="I12" s="35"/>
      <c r="J12" s="35"/>
      <c r="K12" s="41">
        <f>$AD12</f>
        <v>100000</v>
      </c>
      <c r="L12" s="35"/>
      <c r="M12" s="35"/>
      <c r="N12" s="35"/>
      <c r="O12" s="41">
        <f>$AD12</f>
        <v>100000</v>
      </c>
      <c r="P12" s="35"/>
      <c r="Q12" s="35"/>
      <c r="R12" s="41">
        <f>$AD12</f>
        <v>100000</v>
      </c>
      <c r="S12" s="35"/>
      <c r="T12" s="35"/>
      <c r="U12" s="35"/>
      <c r="V12" s="35"/>
      <c r="W12" s="41">
        <f t="shared" ref="W12:W19" si="0">$AD12</f>
        <v>100000</v>
      </c>
      <c r="X12" s="35"/>
      <c r="Y12" s="35"/>
      <c r="Z12" s="41">
        <f>$AD12</f>
        <v>100000</v>
      </c>
      <c r="AA12" s="35"/>
      <c r="AB12" s="33" t="s">
        <v>63</v>
      </c>
      <c r="AC12" s="46" t="s">
        <v>64</v>
      </c>
      <c r="AD12" s="41">
        <v>100000</v>
      </c>
    </row>
    <row r="13" spans="1:31" x14ac:dyDescent="0.25">
      <c r="A13" s="44" t="s">
        <v>65</v>
      </c>
      <c r="B13" s="24" t="s">
        <v>66</v>
      </c>
      <c r="C13" s="77">
        <f>H13*(1+F3)</f>
        <v>20000.8</v>
      </c>
      <c r="D13" s="34"/>
      <c r="E13" s="34"/>
      <c r="F13" s="34"/>
      <c r="G13" s="34"/>
      <c r="H13" s="40">
        <f t="shared" ref="H13:H16" si="1">$AD13</f>
        <v>18400</v>
      </c>
      <c r="I13" s="35"/>
      <c r="J13" s="35"/>
      <c r="K13" s="40">
        <f t="shared" ref="K13:K16" si="2">$AD13</f>
        <v>18400</v>
      </c>
      <c r="L13" s="35"/>
      <c r="M13" s="35"/>
      <c r="N13" s="35"/>
      <c r="O13" s="40">
        <f t="shared" ref="O13:O16" si="3">$AD13</f>
        <v>18400</v>
      </c>
      <c r="P13" s="35"/>
      <c r="Q13" s="35"/>
      <c r="R13" s="40">
        <f t="shared" ref="R13:R16" si="4">$AD13</f>
        <v>18400</v>
      </c>
      <c r="S13" s="35"/>
      <c r="T13" s="35"/>
      <c r="U13" s="35"/>
      <c r="V13" s="35"/>
      <c r="W13" s="40">
        <f t="shared" si="0"/>
        <v>18400</v>
      </c>
      <c r="X13" s="35"/>
      <c r="Y13" s="35"/>
      <c r="Z13" s="40">
        <f t="shared" ref="Z13:Z19" si="5">$AD13</f>
        <v>18400</v>
      </c>
      <c r="AA13" s="35"/>
      <c r="AB13" s="44" t="s">
        <v>65</v>
      </c>
      <c r="AC13" s="24" t="s">
        <v>66</v>
      </c>
      <c r="AD13" s="40">
        <f>Datos!F8*'Proceso y Materiales'!AD$12</f>
        <v>18400</v>
      </c>
    </row>
    <row r="14" spans="1:31" x14ac:dyDescent="0.25">
      <c r="A14" s="44" t="s">
        <v>67</v>
      </c>
      <c r="B14" s="24" t="s">
        <v>66</v>
      </c>
      <c r="C14" s="77">
        <f t="shared" ref="C14:C16" si="6">H14*(1+F4)</f>
        <v>20000.8</v>
      </c>
      <c r="D14" s="34"/>
      <c r="E14" s="34"/>
      <c r="F14" s="34"/>
      <c r="G14" s="34"/>
      <c r="H14" s="40">
        <f t="shared" si="1"/>
        <v>18400</v>
      </c>
      <c r="I14" s="35"/>
      <c r="J14" s="35"/>
      <c r="K14" s="40">
        <f t="shared" si="2"/>
        <v>18400</v>
      </c>
      <c r="L14" s="35"/>
      <c r="M14" s="35"/>
      <c r="N14" s="35"/>
      <c r="O14" s="40">
        <f t="shared" si="3"/>
        <v>18400</v>
      </c>
      <c r="P14" s="35"/>
      <c r="Q14" s="35"/>
      <c r="R14" s="40">
        <f t="shared" si="4"/>
        <v>18400</v>
      </c>
      <c r="S14" s="35"/>
      <c r="T14" s="35"/>
      <c r="U14" s="35"/>
      <c r="V14" s="35"/>
      <c r="W14" s="40">
        <f t="shared" si="0"/>
        <v>18400</v>
      </c>
      <c r="X14" s="35"/>
      <c r="Y14" s="35"/>
      <c r="Z14" s="40">
        <f t="shared" si="5"/>
        <v>18400</v>
      </c>
      <c r="AA14" s="35"/>
      <c r="AB14" s="44" t="s">
        <v>67</v>
      </c>
      <c r="AC14" s="24" t="s">
        <v>66</v>
      </c>
      <c r="AD14" s="40">
        <f>Datos!F9*'Proceso y Materiales'!AD$12</f>
        <v>18400</v>
      </c>
    </row>
    <row r="15" spans="1:31" x14ac:dyDescent="0.25">
      <c r="A15" s="44" t="s">
        <v>68</v>
      </c>
      <c r="B15" s="24" t="s">
        <v>66</v>
      </c>
      <c r="C15" s="77">
        <f t="shared" si="6"/>
        <v>3600.1439999999993</v>
      </c>
      <c r="D15" s="34"/>
      <c r="E15" s="34"/>
      <c r="F15" s="34"/>
      <c r="G15" s="34"/>
      <c r="H15" s="40">
        <f t="shared" si="1"/>
        <v>3311.9999999999995</v>
      </c>
      <c r="I15" s="35"/>
      <c r="J15" s="35"/>
      <c r="K15" s="40">
        <f t="shared" si="2"/>
        <v>3311.9999999999995</v>
      </c>
      <c r="L15" s="35"/>
      <c r="M15" s="35"/>
      <c r="N15" s="35"/>
      <c r="O15" s="40">
        <f t="shared" si="3"/>
        <v>3311.9999999999995</v>
      </c>
      <c r="P15" s="35"/>
      <c r="Q15" s="35"/>
      <c r="R15" s="40">
        <f t="shared" si="4"/>
        <v>3311.9999999999995</v>
      </c>
      <c r="S15" s="37"/>
      <c r="T15" s="35"/>
      <c r="U15" s="35"/>
      <c r="V15" s="48"/>
      <c r="W15" s="40">
        <f t="shared" si="0"/>
        <v>3311.9999999999995</v>
      </c>
      <c r="X15" s="35"/>
      <c r="Y15" s="35"/>
      <c r="Z15" s="40">
        <f t="shared" si="5"/>
        <v>3311.9999999999995</v>
      </c>
      <c r="AA15" s="35"/>
      <c r="AB15" s="44" t="s">
        <v>68</v>
      </c>
      <c r="AC15" s="24" t="s">
        <v>66</v>
      </c>
      <c r="AD15" s="40">
        <f>Datos!F10*'Proceso y Materiales'!AD$12</f>
        <v>3311.9999999999995</v>
      </c>
    </row>
    <row r="16" spans="1:31" x14ac:dyDescent="0.25">
      <c r="A16" s="44" t="s">
        <v>69</v>
      </c>
      <c r="B16" s="24" t="s">
        <v>66</v>
      </c>
      <c r="C16" s="77">
        <f t="shared" si="6"/>
        <v>20000.8</v>
      </c>
      <c r="D16" s="34"/>
      <c r="E16" s="34"/>
      <c r="F16" s="34"/>
      <c r="G16" s="34"/>
      <c r="H16" s="40">
        <f t="shared" si="1"/>
        <v>18400</v>
      </c>
      <c r="I16" s="35"/>
      <c r="J16" s="35"/>
      <c r="K16" s="40">
        <f t="shared" si="2"/>
        <v>18400</v>
      </c>
      <c r="L16" s="35"/>
      <c r="M16" s="35"/>
      <c r="N16" s="35"/>
      <c r="O16" s="40">
        <f t="shared" si="3"/>
        <v>18400</v>
      </c>
      <c r="P16" s="35"/>
      <c r="Q16" s="35"/>
      <c r="R16" s="40">
        <f t="shared" si="4"/>
        <v>18400</v>
      </c>
      <c r="S16" s="37"/>
      <c r="T16" s="35"/>
      <c r="U16" s="35"/>
      <c r="V16" s="48"/>
      <c r="W16" s="40">
        <f t="shared" si="0"/>
        <v>18400</v>
      </c>
      <c r="X16" s="35"/>
      <c r="Y16" s="35"/>
      <c r="Z16" s="40">
        <f t="shared" si="5"/>
        <v>18400</v>
      </c>
      <c r="AA16" s="35"/>
      <c r="AB16" s="44" t="s">
        <v>69</v>
      </c>
      <c r="AC16" s="24" t="s">
        <v>66</v>
      </c>
      <c r="AD16" s="40">
        <f>Datos!F11*'Proceso y Materiales'!AD$12</f>
        <v>18400</v>
      </c>
    </row>
    <row r="17" spans="1:31" x14ac:dyDescent="0.25">
      <c r="A17" s="16" t="s">
        <v>70</v>
      </c>
      <c r="B17" s="11" t="s">
        <v>71</v>
      </c>
      <c r="C17" s="78">
        <f>$R17</f>
        <v>24973.599999999999</v>
      </c>
      <c r="D17" s="34"/>
      <c r="E17" s="34"/>
      <c r="F17" s="34"/>
      <c r="G17" s="34"/>
      <c r="H17" s="40">
        <f>$R17</f>
        <v>24973.599999999999</v>
      </c>
      <c r="I17" s="35"/>
      <c r="J17" s="35"/>
      <c r="K17" s="40">
        <f>$R17</f>
        <v>24973.599999999999</v>
      </c>
      <c r="L17" s="35"/>
      <c r="M17" s="35"/>
      <c r="N17" s="35"/>
      <c r="O17" s="40">
        <f>$R17</f>
        <v>24973.599999999999</v>
      </c>
      <c r="P17" s="35"/>
      <c r="Q17" s="35"/>
      <c r="R17" s="40">
        <f>W17*(1+U3)</f>
        <v>24973.599999999999</v>
      </c>
      <c r="S17" s="35"/>
      <c r="T17" s="35"/>
      <c r="U17" s="35"/>
      <c r="V17" s="35"/>
      <c r="W17" s="40">
        <f t="shared" si="0"/>
        <v>24800</v>
      </c>
      <c r="X17" s="35"/>
      <c r="Y17" s="35"/>
      <c r="Z17" s="40">
        <f t="shared" si="5"/>
        <v>24800</v>
      </c>
      <c r="AA17" s="35"/>
      <c r="AB17" s="16" t="s">
        <v>70</v>
      </c>
      <c r="AC17" s="11" t="s">
        <v>71</v>
      </c>
      <c r="AD17" s="40">
        <f>Datos!F12*'Proceso y Materiales'!AD$12</f>
        <v>24800</v>
      </c>
    </row>
    <row r="18" spans="1:31" x14ac:dyDescent="0.25">
      <c r="A18" s="16" t="s">
        <v>72</v>
      </c>
      <c r="B18" s="11" t="s">
        <v>71</v>
      </c>
      <c r="C18" s="78">
        <f>$R18</f>
        <v>45012.899999999994</v>
      </c>
      <c r="D18" s="34"/>
      <c r="E18" s="34"/>
      <c r="F18" s="34"/>
      <c r="G18" s="34"/>
      <c r="H18" s="40">
        <f>$R18</f>
        <v>45012.899999999994</v>
      </c>
      <c r="I18" s="35"/>
      <c r="J18" s="35"/>
      <c r="K18" s="40">
        <f>$R18</f>
        <v>45012.899999999994</v>
      </c>
      <c r="L18" s="35"/>
      <c r="M18" s="35"/>
      <c r="N18" s="35"/>
      <c r="O18" s="40">
        <f>$R18</f>
        <v>45012.899999999994</v>
      </c>
      <c r="P18" s="35"/>
      <c r="Q18" s="35"/>
      <c r="R18" s="40">
        <f>W18*(1+U5)</f>
        <v>45012.899999999994</v>
      </c>
      <c r="S18" s="35"/>
      <c r="T18" s="35"/>
      <c r="U18" s="35"/>
      <c r="V18" s="35"/>
      <c r="W18" s="40">
        <f t="shared" si="0"/>
        <v>44700</v>
      </c>
      <c r="X18" s="35"/>
      <c r="Y18" s="35"/>
      <c r="Z18" s="40">
        <f t="shared" si="5"/>
        <v>44700</v>
      </c>
      <c r="AA18" s="35"/>
      <c r="AB18" s="16" t="s">
        <v>72</v>
      </c>
      <c r="AC18" s="11" t="s">
        <v>71</v>
      </c>
      <c r="AD18" s="40">
        <f>Datos!F13*'Proceso y Materiales'!AD$12</f>
        <v>44700</v>
      </c>
    </row>
    <row r="19" spans="1:31" x14ac:dyDescent="0.25">
      <c r="A19" s="16" t="s">
        <v>73</v>
      </c>
      <c r="B19" s="11" t="s">
        <v>74</v>
      </c>
      <c r="C19" s="39">
        <f t="shared" ref="C19" si="7">$AD19</f>
        <v>200000</v>
      </c>
      <c r="D19" s="34"/>
      <c r="E19" s="34"/>
      <c r="F19" s="34"/>
      <c r="G19" s="34"/>
      <c r="H19" s="40">
        <f t="shared" ref="H19" si="8">$AD19</f>
        <v>200000</v>
      </c>
      <c r="I19" s="35"/>
      <c r="J19" s="35"/>
      <c r="K19" s="40">
        <f t="shared" ref="K19" si="9">$AD19</f>
        <v>200000</v>
      </c>
      <c r="L19" s="35"/>
      <c r="M19" s="35"/>
      <c r="N19" s="35"/>
      <c r="O19" s="40">
        <f t="shared" ref="O19" si="10">$AD19</f>
        <v>200000</v>
      </c>
      <c r="P19" s="35"/>
      <c r="Q19" s="35"/>
      <c r="R19" s="40">
        <f t="shared" ref="R19" si="11">$AD19</f>
        <v>200000</v>
      </c>
      <c r="S19" s="35"/>
      <c r="T19" s="35"/>
      <c r="U19" s="35"/>
      <c r="V19" s="35"/>
      <c r="W19" s="40">
        <f t="shared" si="0"/>
        <v>200000</v>
      </c>
      <c r="X19" s="35"/>
      <c r="Y19" s="35"/>
      <c r="Z19" s="40">
        <f t="shared" si="5"/>
        <v>200000</v>
      </c>
      <c r="AA19" s="35"/>
      <c r="AB19" s="16" t="s">
        <v>73</v>
      </c>
      <c r="AC19" s="11" t="s">
        <v>74</v>
      </c>
      <c r="AD19" s="40">
        <f>Datos!F14*'Proceso y Materiales'!AD$12</f>
        <v>200000</v>
      </c>
    </row>
    <row r="20" spans="1:31" ht="16.5" thickBot="1" x14ac:dyDescent="0.3">
      <c r="A20" s="17" t="s">
        <v>75</v>
      </c>
      <c r="B20" s="45" t="s">
        <v>76</v>
      </c>
      <c r="C20" s="43">
        <f>$AD$20</f>
        <v>170000</v>
      </c>
      <c r="D20" s="34"/>
      <c r="E20" s="34"/>
      <c r="F20" s="34"/>
      <c r="G20" s="34"/>
      <c r="H20" s="42">
        <f>$AD$20</f>
        <v>170000</v>
      </c>
      <c r="I20" s="35"/>
      <c r="J20" s="35"/>
      <c r="K20" s="42">
        <f>$AD$20</f>
        <v>170000</v>
      </c>
      <c r="L20" s="35"/>
      <c r="M20" s="35"/>
      <c r="N20" s="35"/>
      <c r="O20" s="42">
        <f>$AD$20</f>
        <v>170000</v>
      </c>
      <c r="P20" s="35"/>
      <c r="Q20" s="35"/>
      <c r="R20" s="42">
        <f>$AD$20</f>
        <v>170000</v>
      </c>
      <c r="S20" s="35"/>
      <c r="T20" s="35"/>
      <c r="U20" s="35"/>
      <c r="V20" s="35"/>
      <c r="W20" s="42">
        <f>$AD$20</f>
        <v>170000</v>
      </c>
      <c r="X20" s="35"/>
      <c r="Y20" s="35"/>
      <c r="Z20" s="42">
        <f>$AD$20</f>
        <v>170000</v>
      </c>
      <c r="AA20" s="35"/>
      <c r="AB20" s="17" t="s">
        <v>75</v>
      </c>
      <c r="AC20" s="45" t="s">
        <v>76</v>
      </c>
      <c r="AD20" s="42">
        <f>Datos!F15*'Proceso y Materiales'!AD$12</f>
        <v>170000</v>
      </c>
    </row>
    <row r="21" spans="1:31" x14ac:dyDescent="0.25"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"/>
      <c r="Y21" s="11"/>
      <c r="Z21" s="112"/>
      <c r="AA21" s="112"/>
      <c r="AB21" s="112"/>
      <c r="AC21" s="112"/>
      <c r="AD21" s="112"/>
      <c r="AE21" s="112"/>
    </row>
    <row r="22" spans="1:31" ht="16.5" thickBot="1" x14ac:dyDescent="0.3">
      <c r="A22" s="47"/>
      <c r="D22" s="4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"/>
      <c r="Y22" s="11"/>
      <c r="Z22" s="112"/>
      <c r="AA22" s="112"/>
      <c r="AB22" s="112"/>
      <c r="AC22" s="112"/>
      <c r="AD22" s="112"/>
      <c r="AE22" s="112"/>
    </row>
    <row r="23" spans="1:31" ht="16.5" thickBot="1" x14ac:dyDescent="0.3">
      <c r="A23" s="110" t="s">
        <v>77</v>
      </c>
      <c r="B23" s="30" t="s">
        <v>61</v>
      </c>
      <c r="C23" s="29" t="s">
        <v>78</v>
      </c>
      <c r="D23" s="31"/>
    </row>
    <row r="24" spans="1:31" x14ac:dyDescent="0.25">
      <c r="A24" s="52" t="s">
        <v>79</v>
      </c>
      <c r="B24" s="49" t="s">
        <v>66</v>
      </c>
      <c r="C24" s="79">
        <f>C13-H13</f>
        <v>1600.7999999999993</v>
      </c>
      <c r="D24" s="35"/>
    </row>
    <row r="25" spans="1:31" x14ac:dyDescent="0.25">
      <c r="A25" s="53" t="s">
        <v>80</v>
      </c>
      <c r="B25" s="50" t="s">
        <v>66</v>
      </c>
      <c r="C25" s="78">
        <f t="shared" ref="C25:C27" si="12">C14-H14</f>
        <v>1600.7999999999993</v>
      </c>
      <c r="D25" s="35"/>
      <c r="P25" s="26"/>
      <c r="T25" s="1"/>
      <c r="U25" s="1"/>
    </row>
    <row r="26" spans="1:31" x14ac:dyDescent="0.25">
      <c r="A26" s="53" t="s">
        <v>81</v>
      </c>
      <c r="B26" s="50" t="s">
        <v>66</v>
      </c>
      <c r="C26" s="78">
        <f t="shared" si="12"/>
        <v>288.14399999999978</v>
      </c>
      <c r="D26" s="35"/>
      <c r="P26" s="26"/>
      <c r="S26" s="112"/>
      <c r="T26" s="1"/>
      <c r="U26" s="1"/>
    </row>
    <row r="27" spans="1:31" x14ac:dyDescent="0.25">
      <c r="A27" s="53" t="s">
        <v>82</v>
      </c>
      <c r="B27" s="50" t="s">
        <v>66</v>
      </c>
      <c r="C27" s="78">
        <f t="shared" si="12"/>
        <v>1600.7999999999993</v>
      </c>
      <c r="D27" s="35"/>
      <c r="P27" s="26"/>
      <c r="T27" s="1"/>
      <c r="U27" s="1"/>
    </row>
    <row r="28" spans="1:31" x14ac:dyDescent="0.25">
      <c r="A28" s="16" t="s">
        <v>83</v>
      </c>
      <c r="B28" s="27" t="s">
        <v>71</v>
      </c>
      <c r="C28" s="78">
        <f>R17-W17</f>
        <v>173.59999999999854</v>
      </c>
      <c r="D28" s="35"/>
      <c r="H28" s="21"/>
      <c r="I28" s="21"/>
      <c r="J28" s="21"/>
      <c r="K28" s="21"/>
      <c r="L28" s="21"/>
      <c r="M28" s="21"/>
      <c r="N28" s="21"/>
      <c r="O28" s="112"/>
      <c r="P28" s="26"/>
      <c r="Q28" s="112"/>
      <c r="R28" s="21"/>
      <c r="S28" s="112"/>
      <c r="T28" s="112"/>
      <c r="U28" s="112"/>
      <c r="V28" s="21"/>
      <c r="W28" s="112"/>
      <c r="X28" s="18"/>
      <c r="Y28" s="112"/>
    </row>
    <row r="29" spans="1:31" ht="16.5" thickBot="1" x14ac:dyDescent="0.3">
      <c r="A29" s="17" t="s">
        <v>84</v>
      </c>
      <c r="B29" s="25" t="s">
        <v>71</v>
      </c>
      <c r="C29" s="80">
        <f>R18-W18</f>
        <v>312.89999999999418</v>
      </c>
      <c r="D29" s="35"/>
      <c r="P29" s="26"/>
      <c r="T29" s="1"/>
      <c r="U29" s="1"/>
    </row>
    <row r="30" spans="1:31" x14ac:dyDescent="0.25">
      <c r="P30" s="26"/>
      <c r="T30" s="1"/>
      <c r="U30" s="1"/>
    </row>
    <row r="31" spans="1:31" x14ac:dyDescent="0.25">
      <c r="H31" s="11"/>
      <c r="I31" s="11"/>
      <c r="J31" s="11"/>
      <c r="K31" s="11"/>
    </row>
    <row r="33" spans="8:11" x14ac:dyDescent="0.25">
      <c r="H33" s="11"/>
      <c r="I33" s="11"/>
      <c r="J33" s="11"/>
      <c r="K33" s="11"/>
    </row>
  </sheetData>
  <mergeCells count="21">
    <mergeCell ref="V5:V6"/>
    <mergeCell ref="U3:U4"/>
    <mergeCell ref="U5:U6"/>
    <mergeCell ref="T3:T4"/>
    <mergeCell ref="T5:T6"/>
    <mergeCell ref="A9:C9"/>
    <mergeCell ref="A1:C1"/>
    <mergeCell ref="X3:X6"/>
    <mergeCell ref="Y3:Y6"/>
    <mergeCell ref="AA3:AA6"/>
    <mergeCell ref="M3:M6"/>
    <mergeCell ref="E3:E6"/>
    <mergeCell ref="L3:L6"/>
    <mergeCell ref="D3:D6"/>
    <mergeCell ref="I3:I6"/>
    <mergeCell ref="N3:N6"/>
    <mergeCell ref="P3:P6"/>
    <mergeCell ref="Q3:Q6"/>
    <mergeCell ref="S3:S6"/>
    <mergeCell ref="J3:J6"/>
    <mergeCell ref="V3:V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3" sqref="C23"/>
    </sheetView>
  </sheetViews>
  <sheetFormatPr baseColWidth="10" defaultColWidth="11.42578125" defaultRowHeight="15.75" x14ac:dyDescent="0.25"/>
  <cols>
    <col min="1" max="1" width="21.85546875" style="2" bestFit="1" customWidth="1"/>
    <col min="2" max="2" width="21" style="2" customWidth="1"/>
    <col min="3" max="3" width="16.5703125" style="2" customWidth="1"/>
    <col min="4" max="4" width="21.85546875" style="2" customWidth="1"/>
    <col min="5" max="5" width="21.7109375" style="1" bestFit="1" customWidth="1"/>
    <col min="6" max="6" width="21" style="1" customWidth="1"/>
    <col min="7" max="16384" width="11.42578125" style="1"/>
  </cols>
  <sheetData>
    <row r="1" spans="1:6" s="19" customFormat="1" ht="32.25" thickBot="1" x14ac:dyDescent="0.3">
      <c r="A1" s="30" t="s">
        <v>85</v>
      </c>
      <c r="B1" s="84" t="s">
        <v>86</v>
      </c>
      <c r="C1" s="84" t="s">
        <v>87</v>
      </c>
      <c r="D1" s="84" t="s">
        <v>88</v>
      </c>
      <c r="E1" s="85" t="s">
        <v>89</v>
      </c>
      <c r="F1" s="85" t="s">
        <v>90</v>
      </c>
    </row>
    <row r="2" spans="1:6" x14ac:dyDescent="0.25">
      <c r="A2" s="51" t="s">
        <v>14</v>
      </c>
      <c r="B2" s="87">
        <f>Datos!$L8</f>
        <v>25</v>
      </c>
      <c r="C2" s="86">
        <f>(Datos!$T$9-Datos!$T$10-Datos!$T$11-Datos!$T$12)*Datos!$T$8</f>
        <v>1832</v>
      </c>
      <c r="D2" s="117">
        <f>B2*C2</f>
        <v>45800</v>
      </c>
      <c r="E2" s="88">
        <v>0.9</v>
      </c>
      <c r="F2" s="89">
        <f>D2*E2</f>
        <v>41220</v>
      </c>
    </row>
    <row r="3" spans="1:6" x14ac:dyDescent="0.25">
      <c r="A3" s="27" t="s">
        <v>23</v>
      </c>
      <c r="B3" s="91">
        <f>Datos!$L9</f>
        <v>7</v>
      </c>
      <c r="C3" s="90">
        <f>(Datos!$T$9-Datos!$T$10-Datos!$T$11-Datos!$T$12)*Datos!$T$8</f>
        <v>1832</v>
      </c>
      <c r="D3" s="118">
        <f t="shared" ref="D3:D8" si="0">B3*C3</f>
        <v>12824</v>
      </c>
      <c r="E3" s="92">
        <v>0.8</v>
      </c>
      <c r="F3" s="93">
        <f t="shared" ref="F3:F8" si="1">D3*E3</f>
        <v>10259.200000000001</v>
      </c>
    </row>
    <row r="4" spans="1:6" x14ac:dyDescent="0.25">
      <c r="A4" s="27" t="s">
        <v>52</v>
      </c>
      <c r="B4" s="91">
        <f>Datos!$L10</f>
        <v>6.25</v>
      </c>
      <c r="C4" s="90">
        <f>(Datos!$T$9-Datos!$T$10-Datos!$T$11-Datos!$T$12)*Datos!$T$8</f>
        <v>1832</v>
      </c>
      <c r="D4" s="118">
        <f t="shared" si="0"/>
        <v>11450</v>
      </c>
      <c r="E4" s="92">
        <v>0.9</v>
      </c>
      <c r="F4" s="93">
        <f t="shared" si="1"/>
        <v>10305</v>
      </c>
    </row>
    <row r="5" spans="1:6" x14ac:dyDescent="0.25">
      <c r="A5" s="27" t="s">
        <v>33</v>
      </c>
      <c r="B5" s="91">
        <f>Datos!$L11</f>
        <v>60</v>
      </c>
      <c r="C5" s="90">
        <f>(Datos!$T$9-Datos!$T$10-Datos!$T$11-Datos!$T$12)*Datos!$T$8</f>
        <v>1832</v>
      </c>
      <c r="D5" s="118">
        <f t="shared" si="0"/>
        <v>109920</v>
      </c>
      <c r="E5" s="92">
        <v>0.8</v>
      </c>
      <c r="F5" s="93">
        <f t="shared" si="1"/>
        <v>87936</v>
      </c>
    </row>
    <row r="6" spans="1:6" x14ac:dyDescent="0.25">
      <c r="A6" s="27" t="s">
        <v>27</v>
      </c>
      <c r="B6" s="91">
        <f>Datos!$L12</f>
        <v>72</v>
      </c>
      <c r="C6" s="90">
        <f>(Datos!$T$9-Datos!$T$10-Datos!$T$11-Datos!$T$12)*Datos!$T$8</f>
        <v>1832</v>
      </c>
      <c r="D6" s="118">
        <f t="shared" si="0"/>
        <v>131904</v>
      </c>
      <c r="E6" s="92">
        <v>0.95</v>
      </c>
      <c r="F6" s="93">
        <f t="shared" si="1"/>
        <v>125308.79999999999</v>
      </c>
    </row>
    <row r="7" spans="1:6" x14ac:dyDescent="0.25">
      <c r="A7" s="27" t="s">
        <v>40</v>
      </c>
      <c r="B7" s="91">
        <f>Datos!$L13</f>
        <v>60</v>
      </c>
      <c r="C7" s="90">
        <f>(Datos!$T$9-Datos!$T$10-Datos!$T$11-Datos!$T$12)*Datos!$T$8</f>
        <v>1832</v>
      </c>
      <c r="D7" s="118">
        <f t="shared" si="0"/>
        <v>109920</v>
      </c>
      <c r="E7" s="92">
        <v>0.8</v>
      </c>
      <c r="F7" s="93">
        <f t="shared" si="1"/>
        <v>87936</v>
      </c>
    </row>
    <row r="8" spans="1:6" ht="16.5" thickBot="1" x14ac:dyDescent="0.3">
      <c r="A8" s="25" t="s">
        <v>44</v>
      </c>
      <c r="B8" s="95">
        <f>Datos!$L14</f>
        <v>30</v>
      </c>
      <c r="C8" s="94">
        <f>(Datos!$T$9-Datos!$T$10-Datos!$T$11-Datos!$T$12)*Datos!$T$8</f>
        <v>1832</v>
      </c>
      <c r="D8" s="119">
        <f t="shared" si="0"/>
        <v>54960</v>
      </c>
      <c r="E8" s="96">
        <v>0.8</v>
      </c>
      <c r="F8" s="97">
        <f t="shared" si="1"/>
        <v>43968</v>
      </c>
    </row>
    <row r="9" spans="1:6" x14ac:dyDescent="0.25">
      <c r="A9" s="112"/>
      <c r="B9" s="98"/>
      <c r="C9" s="98"/>
      <c r="D9" s="98"/>
      <c r="E9" s="99"/>
      <c r="F9" s="99"/>
    </row>
    <row r="10" spans="1:6" x14ac:dyDescent="0.25">
      <c r="A10" s="112"/>
      <c r="B10" s="98"/>
      <c r="C10" s="98"/>
      <c r="D10" s="98"/>
      <c r="E10" s="99"/>
      <c r="F10" s="99"/>
    </row>
    <row r="11" spans="1:6" x14ac:dyDescent="0.25">
      <c r="A11" s="63" t="s">
        <v>91</v>
      </c>
      <c r="B11" s="98"/>
      <c r="C11" s="98"/>
      <c r="D11" s="98"/>
      <c r="E11" s="99"/>
      <c r="F11" s="99"/>
    </row>
    <row r="12" spans="1:6" x14ac:dyDescent="0.25">
      <c r="A12" s="112"/>
      <c r="B12" s="98"/>
      <c r="C12" s="98"/>
      <c r="D12" s="98"/>
      <c r="E12" s="99"/>
      <c r="F12" s="99"/>
    </row>
    <row r="13" spans="1:6" x14ac:dyDescent="0.25">
      <c r="A13" s="112"/>
      <c r="B13" s="98"/>
      <c r="C13" s="98"/>
      <c r="D13" s="98"/>
      <c r="E13" s="99"/>
      <c r="F13" s="99"/>
    </row>
    <row r="14" spans="1:6" x14ac:dyDescent="0.25">
      <c r="A14" s="112"/>
      <c r="B14" s="98"/>
      <c r="C14" s="98"/>
      <c r="D14" s="98"/>
      <c r="E14" s="99"/>
      <c r="F14" s="99"/>
    </row>
    <row r="15" spans="1:6" x14ac:dyDescent="0.25">
      <c r="A15" s="112"/>
      <c r="B15" s="98"/>
      <c r="C15" s="98"/>
      <c r="D15" s="98"/>
      <c r="E15" s="99"/>
      <c r="F15" s="99"/>
    </row>
    <row r="16" spans="1:6" x14ac:dyDescent="0.25">
      <c r="A16" s="112"/>
      <c r="B16" s="98"/>
      <c r="C16" s="98"/>
      <c r="D16" s="98"/>
      <c r="E16" s="99"/>
      <c r="F16" s="99"/>
    </row>
    <row r="17" spans="2:6" x14ac:dyDescent="0.25">
      <c r="B17" s="98"/>
      <c r="C17" s="98"/>
      <c r="D17" s="98"/>
      <c r="E17" s="99"/>
      <c r="F17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3" sqref="J13"/>
    </sheetView>
  </sheetViews>
  <sheetFormatPr baseColWidth="10" defaultColWidth="11.42578125" defaultRowHeight="15" x14ac:dyDescent="0.25"/>
  <cols>
    <col min="1" max="1" width="21.85546875" bestFit="1" customWidth="1"/>
    <col min="2" max="2" width="21" customWidth="1"/>
    <col min="3" max="3" width="17.5703125" customWidth="1"/>
    <col min="4" max="4" width="21.85546875" customWidth="1"/>
    <col min="5" max="5" width="21.7109375" bestFit="1" customWidth="1"/>
    <col min="6" max="6" width="18.42578125" customWidth="1"/>
    <col min="9" max="9" width="13.5703125" customWidth="1"/>
  </cols>
  <sheetData>
    <row r="1" spans="1:11" ht="32.25" thickBot="1" x14ac:dyDescent="0.3">
      <c r="A1" s="30" t="s">
        <v>85</v>
      </c>
      <c r="B1" s="58" t="s">
        <v>92</v>
      </c>
      <c r="C1" s="59" t="s">
        <v>90</v>
      </c>
      <c r="D1" s="58" t="s">
        <v>93</v>
      </c>
      <c r="E1" s="64" t="s">
        <v>94</v>
      </c>
      <c r="F1" s="6" t="s">
        <v>95</v>
      </c>
    </row>
    <row r="2" spans="1:11" ht="15.75" x14ac:dyDescent="0.25">
      <c r="A2" s="51" t="s">
        <v>14</v>
      </c>
      <c r="B2" s="60">
        <f>'Proceso y Materiales'!$AD$12</f>
        <v>100000</v>
      </c>
      <c r="C2" s="60">
        <f>'Capacidad Anual'!$F2</f>
        <v>41220</v>
      </c>
      <c r="D2" s="60">
        <f>ROUNDUP(B2/C2,0)</f>
        <v>3</v>
      </c>
      <c r="E2" s="66">
        <f>D2*C2</f>
        <v>123660</v>
      </c>
      <c r="F2" s="83">
        <f>B2/E2</f>
        <v>0.80866893093967329</v>
      </c>
    </row>
    <row r="3" spans="1:11" ht="15.75" x14ac:dyDescent="0.25">
      <c r="A3" s="27" t="s">
        <v>23</v>
      </c>
      <c r="B3" s="61">
        <f>'Proceso y Materiales'!$AD$12</f>
        <v>100000</v>
      </c>
      <c r="C3" s="61">
        <f>'Capacidad Anual'!$F3</f>
        <v>10259.200000000001</v>
      </c>
      <c r="D3" s="61">
        <f t="shared" ref="D3:D8" si="0">ROUNDUP(B3/C3,0)</f>
        <v>10</v>
      </c>
      <c r="E3" s="67">
        <f t="shared" ref="E3:E8" si="1">D3*C3</f>
        <v>102592</v>
      </c>
      <c r="F3" s="81">
        <f t="shared" ref="F3:F8" si="2">B3/E3</f>
        <v>0.97473487211478482</v>
      </c>
    </row>
    <row r="4" spans="1:11" ht="15.75" x14ac:dyDescent="0.25">
      <c r="A4" s="27" t="s">
        <v>52</v>
      </c>
      <c r="B4" s="61">
        <v>100000</v>
      </c>
      <c r="C4" s="61">
        <f>'Capacidad Anual'!$F4</f>
        <v>10305</v>
      </c>
      <c r="D4" s="61">
        <f t="shared" si="0"/>
        <v>10</v>
      </c>
      <c r="E4" s="67">
        <f t="shared" si="1"/>
        <v>103050</v>
      </c>
      <c r="F4" s="81">
        <f t="shared" si="2"/>
        <v>0.97040271712760795</v>
      </c>
    </row>
    <row r="5" spans="1:11" ht="15.75" x14ac:dyDescent="0.25">
      <c r="A5" s="27" t="s">
        <v>33</v>
      </c>
      <c r="B5" s="61">
        <f>'Proceso y Materiales'!$AD$12</f>
        <v>100000</v>
      </c>
      <c r="C5" s="61">
        <f>'Capacidad Anual'!$F5</f>
        <v>87936</v>
      </c>
      <c r="D5" s="61">
        <f t="shared" si="0"/>
        <v>2</v>
      </c>
      <c r="E5" s="67">
        <f t="shared" si="1"/>
        <v>175872</v>
      </c>
      <c r="F5" s="81">
        <f t="shared" si="2"/>
        <v>0.56859534206695783</v>
      </c>
    </row>
    <row r="6" spans="1:11" ht="15.75" x14ac:dyDescent="0.25">
      <c r="A6" s="27" t="s">
        <v>27</v>
      </c>
      <c r="B6" s="61">
        <f>'Proceso y Materiales'!$AD$12</f>
        <v>100000</v>
      </c>
      <c r="C6" s="61">
        <f>'Capacidad Anual'!$F6</f>
        <v>125308.79999999999</v>
      </c>
      <c r="D6" s="61">
        <f t="shared" si="0"/>
        <v>1</v>
      </c>
      <c r="E6" s="67">
        <f t="shared" si="1"/>
        <v>125308.79999999999</v>
      </c>
      <c r="F6" s="81">
        <f t="shared" si="2"/>
        <v>0.79802855026941455</v>
      </c>
    </row>
    <row r="7" spans="1:11" ht="15.75" x14ac:dyDescent="0.25">
      <c r="A7" s="27" t="s">
        <v>40</v>
      </c>
      <c r="B7" s="61">
        <f>'Proceso y Materiales'!$AD$12</f>
        <v>100000</v>
      </c>
      <c r="C7" s="61">
        <f>'Capacidad Anual'!$F7</f>
        <v>87936</v>
      </c>
      <c r="D7" s="61">
        <f t="shared" si="0"/>
        <v>2</v>
      </c>
      <c r="E7" s="67">
        <f t="shared" si="1"/>
        <v>175872</v>
      </c>
      <c r="F7" s="81">
        <f t="shared" si="2"/>
        <v>0.56859534206695783</v>
      </c>
    </row>
    <row r="8" spans="1:11" ht="16.5" thickBot="1" x14ac:dyDescent="0.3">
      <c r="A8" s="25" t="s">
        <v>44</v>
      </c>
      <c r="B8" s="62">
        <f>'Proceso y Materiales'!$AD$12</f>
        <v>100000</v>
      </c>
      <c r="C8" s="62">
        <f>'Capacidad Anual'!$F8</f>
        <v>43968</v>
      </c>
      <c r="D8" s="62">
        <f t="shared" si="0"/>
        <v>3</v>
      </c>
      <c r="E8" s="68">
        <f t="shared" si="1"/>
        <v>131904</v>
      </c>
      <c r="F8" s="82">
        <f t="shared" si="2"/>
        <v>0.75812712275594374</v>
      </c>
    </row>
    <row r="12" spans="1:11" ht="15.75" x14ac:dyDescent="0.25">
      <c r="A12" s="171" t="s">
        <v>96</v>
      </c>
      <c r="B12" s="171"/>
      <c r="C12" s="171"/>
      <c r="D12" s="171"/>
      <c r="E12" s="70" t="str">
        <f>A3</f>
        <v>Costura</v>
      </c>
    </row>
    <row r="13" spans="1:11" ht="15.75" x14ac:dyDescent="0.25">
      <c r="A13" s="171" t="s">
        <v>97</v>
      </c>
      <c r="B13" s="171"/>
      <c r="C13" s="171"/>
      <c r="D13" s="171"/>
      <c r="E13" s="171"/>
      <c r="F13" s="171"/>
      <c r="G13" s="171"/>
      <c r="H13" s="171"/>
      <c r="I13" s="171"/>
      <c r="J13" s="69">
        <f>E3</f>
        <v>102592</v>
      </c>
      <c r="K13" s="14" t="s">
        <v>98</v>
      </c>
    </row>
  </sheetData>
  <mergeCells count="2">
    <mergeCell ref="A12:D12"/>
    <mergeCell ref="A13:I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Desperdicioes</vt:lpstr>
      <vt:lpstr>Proceso y Materiales</vt:lpstr>
      <vt:lpstr>Capacidad Anual</vt:lpstr>
      <vt:lpstr>Cantidad de Máquinas Operativas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Emiliano Lavecchia</dc:creator>
  <cp:keywords/>
  <dc:description/>
  <cp:lastModifiedBy>Emiliano Lavecchia</cp:lastModifiedBy>
  <cp:revision/>
  <dcterms:created xsi:type="dcterms:W3CDTF">2016-06-05T18:48:31Z</dcterms:created>
  <dcterms:modified xsi:type="dcterms:W3CDTF">2016-08-28T18:47:36Z</dcterms:modified>
  <cp:category/>
  <cp:contentStatus/>
</cp:coreProperties>
</file>