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20" windowHeight="7530" tabRatio="751" firstSheet="7" activeTab="16"/>
  </bookViews>
  <sheets>
    <sheet name="InfoInicial" sheetId="1" r:id="rId1"/>
    <sheet name="E-Inv AF y Am" sheetId="2" r:id="rId2"/>
    <sheet name="Detalles AF" sheetId="16" r:id="rId3"/>
    <sheet name="E-Costos" sheetId="15" r:id="rId4"/>
    <sheet name="Aux E-Costos" sheetId="3" r:id="rId5"/>
    <sheet name="E-Cal Inv." sheetId="5" r:id="rId6"/>
    <sheet name="E-InvAT" sheetId="17" r:id="rId7"/>
    <sheet name="Aux E-InvAT" sheetId="4" r:id="rId8"/>
    <sheet name="E-IVA " sheetId="6" r:id="rId9"/>
    <sheet name="E-Form" sheetId="7" r:id="rId10"/>
    <sheet name="Aux F-Cred Ren" sheetId="19" r:id="rId11"/>
    <sheet name="Aux F-Cred" sheetId="18" r:id="rId12"/>
    <sheet name="F-Cred" sheetId="8" r:id="rId13"/>
    <sheet name="F-CRes" sheetId="9" r:id="rId14"/>
    <sheet name="F-2 Estructura" sheetId="10" r:id="rId15"/>
    <sheet name="F-IVA" sheetId="11" r:id="rId16"/>
    <sheet name="F- CFyU" sheetId="12" r:id="rId17"/>
    <sheet name="F-Balance" sheetId="13" r:id="rId18"/>
    <sheet name="F- Form" sheetId="14" r:id="rId19"/>
  </sheets>
  <definedNames>
    <definedName name="_xlnm.Print_Area" localSheetId="4">('E-Costos'!$A$3:$G$47,'E-Costos'!$A$50:$F$81,'Aux E-Costos'!$A$136:$F$136)</definedName>
    <definedName name="_xlnm.Print_Area" localSheetId="16">'F- CFyU'!$A$3:$H$28</definedName>
    <definedName name="_xlnm.Print_Area" localSheetId="17">'F-Balance'!$A$3:$G$35</definedName>
    <definedName name="_xlnm.Print_Area" localSheetId="12">'F-Cred'!$A$1:$I$29</definedName>
    <definedName name="Excel_BuiltIn_Print_Area" localSheetId="16">('F- CFyU'!#REF!,'F- CFyU'!#REF!,'F- CFyU'!$A$3:$H$28)</definedName>
    <definedName name="Excel_BuiltIn_Print_Area" localSheetId="17">('F-Balance'!#REF!,'F-Balance'!#REF!,'F-Balance'!$A$3:$G$35)</definedName>
  </definedNames>
  <calcPr calcId="145621"/>
</workbook>
</file>

<file path=xl/calcChain.xml><?xml version="1.0" encoding="utf-8"?>
<calcChain xmlns="http://schemas.openxmlformats.org/spreadsheetml/2006/main">
  <c r="G18" i="12" l="1"/>
  <c r="C10" i="9"/>
  <c r="B10" i="9"/>
  <c r="E22" i="8"/>
  <c r="E27" i="8"/>
  <c r="D17" i="8"/>
  <c r="J37" i="18"/>
  <c r="I17" i="8"/>
  <c r="G28" i="8"/>
  <c r="G26" i="8"/>
  <c r="G24" i="8"/>
  <c r="G22" i="8"/>
  <c r="G20" i="8"/>
  <c r="G20" i="18"/>
  <c r="D5" i="8"/>
  <c r="J17" i="8" l="1"/>
  <c r="C18" i="10" s="1"/>
  <c r="B13" i="12"/>
  <c r="B29" i="13"/>
  <c r="C29" i="13" s="1"/>
  <c r="D29" i="13" s="1"/>
  <c r="E29" i="13" s="1"/>
  <c r="F29" i="13" s="1"/>
  <c r="G29" i="13" s="1"/>
  <c r="I5" i="14" l="1"/>
  <c r="G27" i="13"/>
  <c r="F27" i="13"/>
  <c r="E27" i="13"/>
  <c r="D27" i="13"/>
  <c r="G16" i="13" l="1"/>
  <c r="F16" i="13"/>
  <c r="E16" i="13"/>
  <c r="D16" i="13"/>
  <c r="C16" i="13"/>
  <c r="C15" i="13"/>
  <c r="F18" i="12"/>
  <c r="E18" i="12"/>
  <c r="D18" i="12"/>
  <c r="G36" i="18" l="1"/>
  <c r="G35" i="18"/>
  <c r="G34" i="18"/>
  <c r="E29" i="8" l="1"/>
  <c r="C29" i="8"/>
  <c r="G21" i="8"/>
  <c r="G23" i="8"/>
  <c r="G25" i="8"/>
  <c r="E23" i="8"/>
  <c r="E24" i="8"/>
  <c r="E25" i="8"/>
  <c r="E26" i="8"/>
  <c r="C24" i="8"/>
  <c r="C25" i="8"/>
  <c r="C26" i="8"/>
  <c r="C27" i="8"/>
  <c r="C21" i="8"/>
  <c r="C22" i="8"/>
  <c r="C23" i="8"/>
  <c r="B18" i="8"/>
  <c r="I47" i="18"/>
  <c r="H47" i="18"/>
  <c r="C16" i="8"/>
  <c r="E16" i="8"/>
  <c r="F16" i="8"/>
  <c r="I16" i="8"/>
  <c r="H16" i="8"/>
  <c r="C15" i="8"/>
  <c r="E15" i="8"/>
  <c r="F15" i="8"/>
  <c r="H15" i="8"/>
  <c r="C14" i="8"/>
  <c r="E14" i="8"/>
  <c r="F14" i="8"/>
  <c r="H14" i="8"/>
  <c r="D13" i="8"/>
  <c r="E13" i="8"/>
  <c r="F13" i="8"/>
  <c r="H13" i="8"/>
  <c r="C13" i="8"/>
  <c r="E3" i="19"/>
  <c r="G4" i="19" s="1"/>
  <c r="H37" i="18"/>
  <c r="E17" i="8" s="1"/>
  <c r="F28" i="18" l="1"/>
  <c r="C28" i="18"/>
  <c r="L6" i="18"/>
  <c r="L7" i="18" s="1"/>
  <c r="G3" i="18"/>
  <c r="G4" i="18"/>
  <c r="C3" i="18"/>
  <c r="C5" i="18" s="1"/>
  <c r="R5" i="3"/>
  <c r="M5" i="3"/>
  <c r="C26" i="18" l="1"/>
  <c r="G5" i="18"/>
  <c r="F11" i="18" s="1"/>
  <c r="G11" i="18" s="1"/>
  <c r="I11" i="18" s="1"/>
  <c r="C27" i="18"/>
  <c r="F15" i="18"/>
  <c r="G15" i="18" s="1"/>
  <c r="I15" i="18" s="1"/>
  <c r="F13" i="18"/>
  <c r="G13" i="18" s="1"/>
  <c r="I13" i="18" s="1"/>
  <c r="F12" i="18"/>
  <c r="G12" i="18" s="1"/>
  <c r="I12" i="18" s="1"/>
  <c r="F16" i="18"/>
  <c r="G16" i="18" s="1"/>
  <c r="I16" i="18" s="1"/>
  <c r="F17" i="18"/>
  <c r="G17" i="18" s="1"/>
  <c r="I17" i="18" s="1"/>
  <c r="F14" i="18"/>
  <c r="G14" i="18" s="1"/>
  <c r="I14" i="18" s="1"/>
  <c r="F10" i="18"/>
  <c r="F27" i="18" l="1"/>
  <c r="E39" i="18"/>
  <c r="G40" i="18" s="1"/>
  <c r="K40" i="18" s="1"/>
  <c r="E35" i="18"/>
  <c r="B15" i="8" s="1"/>
  <c r="E41" i="18"/>
  <c r="E33" i="18"/>
  <c r="E36" i="18"/>
  <c r="B16" i="8" s="1"/>
  <c r="E40" i="18"/>
  <c r="G41" i="18" s="1"/>
  <c r="K41" i="18" s="1"/>
  <c r="E34" i="18"/>
  <c r="B14" i="8" s="1"/>
  <c r="E38" i="18"/>
  <c r="G39" i="18" s="1"/>
  <c r="G10" i="18"/>
  <c r="F18" i="18"/>
  <c r="G42" i="18" l="1"/>
  <c r="I42" i="18" s="1"/>
  <c r="I40" i="18"/>
  <c r="K39" i="18"/>
  <c r="B13" i="8"/>
  <c r="J34" i="18"/>
  <c r="D16" i="8"/>
  <c r="J33" i="18"/>
  <c r="I13" i="8" s="1"/>
  <c r="J35" i="18"/>
  <c r="I15" i="8" s="1"/>
  <c r="D15" i="8"/>
  <c r="F44" i="18"/>
  <c r="F45" i="18"/>
  <c r="F43" i="18"/>
  <c r="F42" i="18"/>
  <c r="F46" i="18"/>
  <c r="H46" i="18" s="1"/>
  <c r="F47" i="18"/>
  <c r="I10" i="18"/>
  <c r="I18" i="18" s="1"/>
  <c r="D6" i="8" s="1"/>
  <c r="G18" i="18"/>
  <c r="H42" i="18" l="1"/>
  <c r="H48" i="18" s="1"/>
  <c r="K42" i="18"/>
  <c r="F48" i="18"/>
  <c r="H44" i="18"/>
  <c r="I14" i="8"/>
  <c r="E42" i="18"/>
  <c r="D14" i="8"/>
  <c r="G37" i="18"/>
  <c r="C1" i="19"/>
  <c r="B36" i="1"/>
  <c r="J48" i="18" l="1"/>
  <c r="G43" i="18"/>
  <c r="K43" i="18" s="1"/>
  <c r="E43" i="18"/>
  <c r="E4" i="19"/>
  <c r="I4" i="19" s="1"/>
  <c r="F5" i="19" s="1"/>
  <c r="I5" i="19" s="1"/>
  <c r="E11" i="19" s="1"/>
  <c r="D19" i="8" s="1"/>
  <c r="D13" i="19"/>
  <c r="B21" i="8" s="1"/>
  <c r="D17" i="19"/>
  <c r="B25" i="8" s="1"/>
  <c r="D11" i="19"/>
  <c r="B19" i="8" s="1"/>
  <c r="D14" i="19"/>
  <c r="D18" i="19"/>
  <c r="D15" i="19"/>
  <c r="B23" i="8" s="1"/>
  <c r="D19" i="19"/>
  <c r="B27" i="8" s="1"/>
  <c r="D12" i="19"/>
  <c r="D16" i="19"/>
  <c r="D20" i="19"/>
  <c r="J50" i="3"/>
  <c r="K101" i="3"/>
  <c r="K98" i="3"/>
  <c r="K93" i="3"/>
  <c r="K102" i="3"/>
  <c r="K95" i="3"/>
  <c r="K94" i="3"/>
  <c r="J52" i="3"/>
  <c r="Y77" i="3"/>
  <c r="J51" i="3"/>
  <c r="L42" i="3"/>
  <c r="L43" i="3"/>
  <c r="M43" i="3" s="1"/>
  <c r="K43" i="3"/>
  <c r="K42" i="3"/>
  <c r="W54" i="3"/>
  <c r="J49" i="3"/>
  <c r="F6" i="19" l="1"/>
  <c r="I6" i="19" s="1"/>
  <c r="E20" i="19" s="1"/>
  <c r="D28" i="8" s="1"/>
  <c r="B24" i="8"/>
  <c r="E26" i="13"/>
  <c r="E25" i="13" s="1"/>
  <c r="B26" i="8"/>
  <c r="F26" i="13"/>
  <c r="F25" i="13" s="1"/>
  <c r="B20" i="8"/>
  <c r="F20" i="8" s="1"/>
  <c r="C26" i="13"/>
  <c r="B22" i="8"/>
  <c r="D26" i="13"/>
  <c r="B28" i="8"/>
  <c r="G26" i="13"/>
  <c r="F24" i="8"/>
  <c r="E9" i="11" s="1"/>
  <c r="E10" i="11" s="1"/>
  <c r="K37" i="18"/>
  <c r="G17" i="8"/>
  <c r="G44" i="18"/>
  <c r="E44" i="18"/>
  <c r="E16" i="19"/>
  <c r="D24" i="8" s="1"/>
  <c r="E13" i="19"/>
  <c r="D21" i="8" s="1"/>
  <c r="E12" i="19"/>
  <c r="E18" i="19"/>
  <c r="D26" i="8" s="1"/>
  <c r="E19" i="19"/>
  <c r="D27" i="8" s="1"/>
  <c r="M42" i="3"/>
  <c r="K48" i="18" l="1"/>
  <c r="I50" i="18"/>
  <c r="E15" i="19"/>
  <c r="D23" i="8" s="1"/>
  <c r="E17" i="19"/>
  <c r="D25" i="8" s="1"/>
  <c r="I8" i="19"/>
  <c r="E14" i="19"/>
  <c r="D22" i="8" s="1"/>
  <c r="F26" i="8"/>
  <c r="F9" i="11" s="1"/>
  <c r="F10" i="11" s="1"/>
  <c r="C9" i="11"/>
  <c r="C10" i="11" s="1"/>
  <c r="F22" i="8"/>
  <c r="D9" i="11" s="1"/>
  <c r="D10" i="11" s="1"/>
  <c r="F28" i="8"/>
  <c r="G9" i="11" s="1"/>
  <c r="G10" i="11" s="1"/>
  <c r="F12" i="19"/>
  <c r="D20" i="8"/>
  <c r="G45" i="18"/>
  <c r="K45" i="18" s="1"/>
  <c r="E45" i="18"/>
  <c r="I44" i="18"/>
  <c r="K44" i="18"/>
  <c r="F14" i="19"/>
  <c r="I7" i="14" s="1"/>
  <c r="F20" i="19"/>
  <c r="F16" i="19"/>
  <c r="I8" i="14" s="1"/>
  <c r="N43" i="3"/>
  <c r="G29" i="8" l="1"/>
  <c r="I6" i="14"/>
  <c r="F18" i="19"/>
  <c r="I9" i="14" s="1"/>
  <c r="D29" i="8"/>
  <c r="H28" i="8"/>
  <c r="I10" i="14"/>
  <c r="F10" i="9"/>
  <c r="F42" i="10" s="1"/>
  <c r="H22" i="8"/>
  <c r="C42" i="10"/>
  <c r="H26" i="8"/>
  <c r="E10" i="9"/>
  <c r="E42" i="10" s="1"/>
  <c r="H24" i="8"/>
  <c r="D10" i="9"/>
  <c r="D42" i="10" s="1"/>
  <c r="H20" i="8"/>
  <c r="F29" i="8"/>
  <c r="E46" i="18"/>
  <c r="G46" i="18"/>
  <c r="K69" i="3"/>
  <c r="J69" i="3"/>
  <c r="B42" i="10" l="1"/>
  <c r="G10" i="9"/>
  <c r="I46" i="18"/>
  <c r="K46" i="18"/>
  <c r="E47" i="18"/>
  <c r="G47" i="18"/>
  <c r="K47" i="18" s="1"/>
  <c r="B14" i="13"/>
  <c r="C9" i="13"/>
  <c r="D9" i="13"/>
  <c r="E9" i="13"/>
  <c r="F9" i="13"/>
  <c r="G9" i="13"/>
  <c r="C7" i="13"/>
  <c r="D7" i="13"/>
  <c r="E7" i="13"/>
  <c r="F7" i="13"/>
  <c r="G7" i="13"/>
  <c r="C14" i="12"/>
  <c r="K59" i="3" l="1"/>
  <c r="J59" i="3"/>
  <c r="J83" i="3"/>
  <c r="J82" i="3"/>
  <c r="D8" i="8"/>
  <c r="E7" i="8" s="1"/>
  <c r="E23" i="14"/>
  <c r="F23" i="14" s="1"/>
  <c r="D30" i="14"/>
  <c r="C27" i="14"/>
  <c r="C26" i="14"/>
  <c r="C25" i="14"/>
  <c r="L5" i="14"/>
  <c r="F5" i="14"/>
  <c r="E5" i="14"/>
  <c r="B9" i="14"/>
  <c r="B8" i="14"/>
  <c r="B7" i="14"/>
  <c r="G11" i="13"/>
  <c r="B9" i="13"/>
  <c r="B7" i="13"/>
  <c r="C34" i="13"/>
  <c r="B28" i="13"/>
  <c r="G25" i="13"/>
  <c r="D25" i="13"/>
  <c r="C25" i="13"/>
  <c r="B25" i="13"/>
  <c r="B17" i="13"/>
  <c r="B30" i="13" l="1"/>
  <c r="I12" i="14"/>
  <c r="C14" i="13"/>
  <c r="C17" i="13" s="1"/>
  <c r="D10" i="12"/>
  <c r="E10" i="12"/>
  <c r="F10" i="12"/>
  <c r="G10" i="12"/>
  <c r="B11" i="12"/>
  <c r="C10" i="12"/>
  <c r="C9" i="12"/>
  <c r="B8" i="12"/>
  <c r="H22" i="12"/>
  <c r="H20" i="12"/>
  <c r="H18" i="12"/>
  <c r="H6" i="12"/>
  <c r="D13" i="11"/>
  <c r="E13" i="11"/>
  <c r="F13" i="11"/>
  <c r="G13" i="11"/>
  <c r="B13" i="11"/>
  <c r="C13" i="11"/>
  <c r="B7" i="11"/>
  <c r="B8" i="11"/>
  <c r="B6" i="11"/>
  <c r="B19" i="11"/>
  <c r="B16" i="11"/>
  <c r="B10" i="11"/>
  <c r="B12" i="11" s="1"/>
  <c r="B14" i="11" s="1"/>
  <c r="B21" i="11" s="1"/>
  <c r="B30" i="10"/>
  <c r="B9" i="12" s="1"/>
  <c r="C29" i="10"/>
  <c r="C8" i="12" s="1"/>
  <c r="C9" i="10"/>
  <c r="C7" i="10"/>
  <c r="C13" i="10"/>
  <c r="C12" i="10"/>
  <c r="B13" i="10"/>
  <c r="B12" i="10"/>
  <c r="B7" i="10"/>
  <c r="D18" i="10"/>
  <c r="D13" i="10"/>
  <c r="C8" i="10"/>
  <c r="C4" i="9"/>
  <c r="D4" i="9"/>
  <c r="E4" i="9"/>
  <c r="F4" i="9"/>
  <c r="B4" i="9"/>
  <c r="G4" i="9" s="1"/>
  <c r="H10" i="12" l="1"/>
  <c r="I48" i="18"/>
  <c r="G48" i="18"/>
  <c r="H51" i="18" s="1"/>
  <c r="B6" i="14"/>
  <c r="D29" i="10"/>
  <c r="D14" i="13"/>
  <c r="D17" i="13" s="1"/>
  <c r="C28" i="13"/>
  <c r="C30" i="13" s="1"/>
  <c r="H8" i="12"/>
  <c r="H9" i="12"/>
  <c r="C10" i="10"/>
  <c r="C25" i="10" s="1"/>
  <c r="D12" i="10"/>
  <c r="D7" i="10"/>
  <c r="D30" i="10"/>
  <c r="D28" i="13" l="1"/>
  <c r="D30" i="13" s="1"/>
  <c r="E14" i="13"/>
  <c r="E17" i="13" s="1"/>
  <c r="F14" i="13" l="1"/>
  <c r="F17" i="13" s="1"/>
  <c r="E28" i="13"/>
  <c r="E30" i="13" s="1"/>
  <c r="G14" i="13" l="1"/>
  <c r="G17" i="13" s="1"/>
  <c r="F28" i="13"/>
  <c r="F30" i="13" s="1"/>
  <c r="G28" i="13"/>
  <c r="G30" i="13" s="1"/>
  <c r="A141" i="15" l="1"/>
  <c r="B140" i="15" s="1"/>
  <c r="H141" i="15"/>
  <c r="I141" i="15" s="1"/>
  <c r="B141" i="15" l="1"/>
  <c r="I140" i="15"/>
  <c r="E1" i="17"/>
  <c r="D6" i="17"/>
  <c r="C7" i="17"/>
  <c r="G7" i="17"/>
  <c r="B32" i="17"/>
  <c r="B33" i="17"/>
  <c r="E3" i="15"/>
  <c r="B13" i="15"/>
  <c r="C13" i="15"/>
  <c r="E72" i="15" s="1"/>
  <c r="D13" i="15"/>
  <c r="D55" i="15" s="1"/>
  <c r="E13" i="15"/>
  <c r="E55" i="15" s="1"/>
  <c r="F13" i="15"/>
  <c r="F55" i="15" s="1"/>
  <c r="B15" i="15"/>
  <c r="C15" i="15"/>
  <c r="D15" i="15"/>
  <c r="E15" i="15"/>
  <c r="F15" i="15"/>
  <c r="B57" i="15"/>
  <c r="C57" i="15"/>
  <c r="D57" i="15"/>
  <c r="E57" i="15"/>
  <c r="F57" i="15"/>
  <c r="D72" i="15"/>
  <c r="B73" i="15"/>
  <c r="C73" i="15"/>
  <c r="D73" i="15"/>
  <c r="E73" i="15"/>
  <c r="F73" i="15"/>
  <c r="B88" i="15"/>
  <c r="F141" i="15" s="1"/>
  <c r="C88" i="15"/>
  <c r="D7" i="17" s="1"/>
  <c r="D88" i="15"/>
  <c r="E6" i="17" s="1"/>
  <c r="E88" i="15"/>
  <c r="F6" i="17" s="1"/>
  <c r="F88" i="15"/>
  <c r="M141" i="15" s="1"/>
  <c r="F7" i="17" l="1"/>
  <c r="G6" i="17"/>
  <c r="C6" i="17"/>
  <c r="B6" i="17" s="1"/>
  <c r="E7" i="17"/>
  <c r="G12" i="5" s="1"/>
  <c r="C72" i="15"/>
  <c r="B72" i="15" s="1"/>
  <c r="C55" i="15"/>
  <c r="B55" i="15" s="1"/>
  <c r="F72" i="15"/>
  <c r="L39" i="3"/>
  <c r="C31" i="15" s="1"/>
  <c r="L22" i="4" s="1"/>
  <c r="M39" i="3"/>
  <c r="D31" i="15" s="1"/>
  <c r="M22" i="4" s="1"/>
  <c r="N39" i="3"/>
  <c r="E31" i="15" s="1"/>
  <c r="N22" i="4" s="1"/>
  <c r="O39" i="3"/>
  <c r="F31" i="15" s="1"/>
  <c r="O22" i="4" s="1"/>
  <c r="K60" i="3"/>
  <c r="J60" i="3"/>
  <c r="K72" i="3"/>
  <c r="J72" i="3"/>
  <c r="K70" i="3"/>
  <c r="J70" i="3"/>
  <c r="M8" i="3"/>
  <c r="K6" i="3" s="1"/>
  <c r="R6" i="3"/>
  <c r="M6" i="3"/>
  <c r="R7" i="3"/>
  <c r="M7" i="3" s="1"/>
  <c r="L28" i="3"/>
  <c r="N28" i="3" s="1"/>
  <c r="J148" i="3"/>
  <c r="J149" i="3"/>
  <c r="J150" i="3"/>
  <c r="J151" i="3"/>
  <c r="J114" i="3"/>
  <c r="J115" i="3"/>
  <c r="J169" i="3" s="1"/>
  <c r="J116" i="3"/>
  <c r="J117" i="3"/>
  <c r="J118" i="3"/>
  <c r="J122" i="3"/>
  <c r="J123" i="3"/>
  <c r="J124" i="3"/>
  <c r="J125" i="3"/>
  <c r="J126" i="3"/>
  <c r="J127" i="3"/>
  <c r="J128" i="3"/>
  <c r="J129" i="3"/>
  <c r="J130" i="3"/>
  <c r="J133" i="3"/>
  <c r="J134" i="3"/>
  <c r="J135" i="3"/>
  <c r="J136" i="3"/>
  <c r="J137" i="3"/>
  <c r="J138" i="3"/>
  <c r="J139" i="3"/>
  <c r="J142" i="3"/>
  <c r="J145" i="3"/>
  <c r="J146" i="3"/>
  <c r="J147" i="3"/>
  <c r="J152" i="3"/>
  <c r="J153" i="3"/>
  <c r="J154" i="3"/>
  <c r="J155" i="3"/>
  <c r="J156" i="3"/>
  <c r="J157" i="3"/>
  <c r="J158" i="3"/>
  <c r="J159" i="3"/>
  <c r="J160" i="3"/>
  <c r="J161" i="3"/>
  <c r="J162" i="3"/>
  <c r="J164" i="3"/>
  <c r="J165" i="3"/>
  <c r="J166" i="3"/>
  <c r="J167" i="3"/>
  <c r="J168" i="3"/>
  <c r="L20" i="3"/>
  <c r="N20" i="3"/>
  <c r="O28" i="3" s="1"/>
  <c r="L21" i="3"/>
  <c r="N21" i="3"/>
  <c r="L22" i="3"/>
  <c r="N22" i="3"/>
  <c r="L23" i="3"/>
  <c r="N23" i="3"/>
  <c r="B8" i="2"/>
  <c r="B44" i="2"/>
  <c r="D44" i="2"/>
  <c r="B9" i="2"/>
  <c r="B45" i="2"/>
  <c r="D45" i="2"/>
  <c r="D11" i="2"/>
  <c r="B13" i="2"/>
  <c r="B14" i="2"/>
  <c r="B46" i="2"/>
  <c r="D46" i="2"/>
  <c r="B15" i="2"/>
  <c r="J84" i="3" s="1"/>
  <c r="B48" i="2"/>
  <c r="D48" i="2"/>
  <c r="B7" i="2"/>
  <c r="D18" i="2"/>
  <c r="D50" i="2"/>
  <c r="B29" i="2"/>
  <c r="B31" i="2"/>
  <c r="C29" i="2"/>
  <c r="C31" i="2"/>
  <c r="B53" i="2"/>
  <c r="C53" i="2"/>
  <c r="D53" i="2"/>
  <c r="E44" i="2"/>
  <c r="E45" i="2"/>
  <c r="E46" i="2"/>
  <c r="E48" i="2"/>
  <c r="E53" i="2"/>
  <c r="D20" i="2"/>
  <c r="K41" i="16"/>
  <c r="K42" i="16"/>
  <c r="K43" i="16"/>
  <c r="K44" i="16"/>
  <c r="K45" i="16"/>
  <c r="K46" i="16"/>
  <c r="K47" i="16"/>
  <c r="K48" i="16"/>
  <c r="K49" i="16"/>
  <c r="K50" i="16"/>
  <c r="K51" i="16"/>
  <c r="K40" i="16"/>
  <c r="M93" i="3"/>
  <c r="J101" i="3"/>
  <c r="L101" i="3" s="1"/>
  <c r="M101" i="3"/>
  <c r="M98" i="3"/>
  <c r="M94" i="3"/>
  <c r="J102" i="3"/>
  <c r="L102" i="3" s="1"/>
  <c r="M102" i="3"/>
  <c r="M95" i="3"/>
  <c r="M23" i="4"/>
  <c r="N23" i="4"/>
  <c r="O23" i="4"/>
  <c r="L23" i="4"/>
  <c r="K23" i="4"/>
  <c r="L14" i="3"/>
  <c r="L29" i="3" s="1"/>
  <c r="N14" i="3"/>
  <c r="E11" i="6"/>
  <c r="G11" i="6"/>
  <c r="E9" i="6"/>
  <c r="F9" i="6"/>
  <c r="C9" i="6"/>
  <c r="D9" i="6"/>
  <c r="G9" i="6"/>
  <c r="F11" i="6"/>
  <c r="D11" i="6"/>
  <c r="C11" i="6"/>
  <c r="D58" i="15"/>
  <c r="C17" i="5"/>
  <c r="C16" i="5"/>
  <c r="B22" i="5"/>
  <c r="E4" i="7"/>
  <c r="F4" i="7"/>
  <c r="B43" i="2"/>
  <c r="M29" i="3"/>
  <c r="L27" i="3"/>
  <c r="N27" i="3" s="1"/>
  <c r="L26" i="3"/>
  <c r="N26" i="3"/>
  <c r="L25" i="3"/>
  <c r="N25" i="3" s="1"/>
  <c r="L24" i="3"/>
  <c r="N24" i="3"/>
  <c r="L19" i="3"/>
  <c r="N19" i="3" s="1"/>
  <c r="L18" i="3"/>
  <c r="N18" i="3"/>
  <c r="L17" i="3"/>
  <c r="N17" i="3" s="1"/>
  <c r="L16" i="3"/>
  <c r="N16" i="3"/>
  <c r="L15" i="3"/>
  <c r="N15" i="3" s="1"/>
  <c r="D12" i="5"/>
  <c r="D22" i="6"/>
  <c r="G43" i="2"/>
  <c r="K4" i="7"/>
  <c r="B30" i="6"/>
  <c r="E22" i="6"/>
  <c r="F22" i="6"/>
  <c r="G22" i="6"/>
  <c r="C22" i="6"/>
  <c r="G8" i="6"/>
  <c r="D8" i="6"/>
  <c r="E8" i="6"/>
  <c r="C8" i="6"/>
  <c r="E8" i="5"/>
  <c r="E21" i="5"/>
  <c r="F8" i="5"/>
  <c r="F21" i="5"/>
  <c r="G8" i="5"/>
  <c r="G21" i="5"/>
  <c r="H8" i="5"/>
  <c r="H21" i="5"/>
  <c r="D7" i="5"/>
  <c r="D8" i="5"/>
  <c r="B7" i="5"/>
  <c r="B8" i="5"/>
  <c r="B21" i="5"/>
  <c r="B23" i="5"/>
  <c r="G1" i="14"/>
  <c r="E1" i="13"/>
  <c r="E1" i="12"/>
  <c r="E1" i="11"/>
  <c r="D1" i="10"/>
  <c r="F1" i="9"/>
  <c r="F1" i="8"/>
  <c r="G1" i="7"/>
  <c r="G1" i="6"/>
  <c r="G1" i="5"/>
  <c r="D11" i="5"/>
  <c r="C11" i="5"/>
  <c r="G11" i="5"/>
  <c r="F11" i="5"/>
  <c r="E12" i="5"/>
  <c r="H12" i="5"/>
  <c r="E1" i="2"/>
  <c r="C33" i="2"/>
  <c r="G48" i="2"/>
  <c r="G50" i="2"/>
  <c r="D33" i="2"/>
  <c r="D34" i="2"/>
  <c r="H11" i="5"/>
  <c r="B25" i="5"/>
  <c r="I26" i="7"/>
  <c r="C7" i="5"/>
  <c r="I7" i="5"/>
  <c r="G46" i="2"/>
  <c r="D21" i="5"/>
  <c r="B5" i="7"/>
  <c r="C34" i="2"/>
  <c r="C36" i="2"/>
  <c r="D36" i="2"/>
  <c r="F8" i="6"/>
  <c r="E11" i="5"/>
  <c r="G44" i="2"/>
  <c r="G45" i="2"/>
  <c r="B8" i="15" l="1"/>
  <c r="C7" i="15"/>
  <c r="B7" i="15"/>
  <c r="J55" i="3"/>
  <c r="N29" i="3"/>
  <c r="E10" i="15"/>
  <c r="B10" i="15"/>
  <c r="F10" i="15"/>
  <c r="C10" i="15"/>
  <c r="D10" i="15"/>
  <c r="J98" i="3"/>
  <c r="L98" i="3" s="1"/>
  <c r="N97" i="3" s="1"/>
  <c r="C69" i="15"/>
  <c r="K71" i="3" s="1"/>
  <c r="D69" i="15"/>
  <c r="E69" i="15"/>
  <c r="B69" i="15"/>
  <c r="J71" i="3" s="1"/>
  <c r="B71" i="15" s="1"/>
  <c r="C19" i="6" s="1"/>
  <c r="C8" i="11" s="1"/>
  <c r="F69" i="15"/>
  <c r="N100" i="3"/>
  <c r="B33" i="15" s="1"/>
  <c r="D12" i="15"/>
  <c r="E7" i="6" s="1"/>
  <c r="B12" i="15"/>
  <c r="E12" i="15"/>
  <c r="F7" i="6" s="1"/>
  <c r="F12" i="15"/>
  <c r="G7" i="6" s="1"/>
  <c r="C12" i="15"/>
  <c r="D7" i="6" s="1"/>
  <c r="B52" i="15"/>
  <c r="J61" i="3" s="1"/>
  <c r="F52" i="15"/>
  <c r="C52" i="15"/>
  <c r="K61" i="3" s="1"/>
  <c r="E52" i="15"/>
  <c r="D52" i="15"/>
  <c r="N101" i="3"/>
  <c r="D33" i="15" s="1"/>
  <c r="B18" i="2"/>
  <c r="B20" i="2" s="1"/>
  <c r="B6" i="10" s="1"/>
  <c r="B47" i="2"/>
  <c r="E47" i="2" s="1"/>
  <c r="F12" i="5"/>
  <c r="B75" i="15"/>
  <c r="C58" i="15"/>
  <c r="B58" i="15"/>
  <c r="F75" i="15"/>
  <c r="C54" i="15"/>
  <c r="D18" i="6" s="1"/>
  <c r="D54" i="15"/>
  <c r="E18" i="6" s="1"/>
  <c r="F54" i="15"/>
  <c r="E54" i="15"/>
  <c r="F18" i="6" s="1"/>
  <c r="E75" i="15"/>
  <c r="D75" i="15"/>
  <c r="E58" i="15"/>
  <c r="C75" i="15"/>
  <c r="F58" i="15"/>
  <c r="I12" i="5"/>
  <c r="I11" i="5"/>
  <c r="F33" i="15"/>
  <c r="C33" i="15"/>
  <c r="C6" i="5"/>
  <c r="B33" i="2"/>
  <c r="E71" i="15"/>
  <c r="F71" i="15"/>
  <c r="G19" i="6" s="1"/>
  <c r="G8" i="11" s="1"/>
  <c r="C71" i="15"/>
  <c r="D71" i="15"/>
  <c r="E19" i="6" s="1"/>
  <c r="E8" i="11" s="1"/>
  <c r="B49" i="2"/>
  <c r="G18" i="6"/>
  <c r="E33" i="15" l="1"/>
  <c r="K49" i="3"/>
  <c r="K44" i="3"/>
  <c r="C7" i="6"/>
  <c r="D7" i="15"/>
  <c r="E7" i="15"/>
  <c r="C90" i="15"/>
  <c r="D10" i="17"/>
  <c r="D6" i="6"/>
  <c r="D12" i="6" s="1"/>
  <c r="F7" i="15"/>
  <c r="C29" i="15"/>
  <c r="D29" i="15"/>
  <c r="E29" i="15"/>
  <c r="B29" i="15"/>
  <c r="F29" i="15"/>
  <c r="C10" i="17"/>
  <c r="C6" i="6"/>
  <c r="C12" i="6" s="1"/>
  <c r="B90" i="15"/>
  <c r="E25" i="15"/>
  <c r="B25" i="15"/>
  <c r="F25" i="15"/>
  <c r="C25" i="15"/>
  <c r="L20" i="4" s="1"/>
  <c r="D25" i="15"/>
  <c r="C8" i="15"/>
  <c r="B91" i="15"/>
  <c r="D47" i="2"/>
  <c r="G47" i="2" s="1"/>
  <c r="B19" i="13"/>
  <c r="B22" i="13" s="1"/>
  <c r="D6" i="10"/>
  <c r="B8" i="10"/>
  <c r="F7" i="11"/>
  <c r="E39" i="10"/>
  <c r="E38" i="10"/>
  <c r="D39" i="10"/>
  <c r="D38" i="10"/>
  <c r="E7" i="11"/>
  <c r="G7" i="11"/>
  <c r="F39" i="10"/>
  <c r="F38" i="10"/>
  <c r="C38" i="10"/>
  <c r="D7" i="11"/>
  <c r="C39" i="10"/>
  <c r="G11" i="17"/>
  <c r="E11" i="17"/>
  <c r="B54" i="15"/>
  <c r="D11" i="17"/>
  <c r="F11" i="17"/>
  <c r="F19" i="6"/>
  <c r="F8" i="11" s="1"/>
  <c r="B34" i="2"/>
  <c r="B36" i="2" s="1"/>
  <c r="B4" i="7"/>
  <c r="B5" i="8" s="1"/>
  <c r="F5" i="8" s="1"/>
  <c r="B51" i="2"/>
  <c r="B56" i="2" s="1"/>
  <c r="D49" i="2"/>
  <c r="D51" i="2" s="1"/>
  <c r="E49" i="2"/>
  <c r="E51" i="2" s="1"/>
  <c r="D19" i="6"/>
  <c r="D8" i="11" s="1"/>
  <c r="C8" i="5"/>
  <c r="I6" i="5"/>
  <c r="C19" i="13" l="1"/>
  <c r="F15" i="5"/>
  <c r="D30" i="17"/>
  <c r="E14" i="5"/>
  <c r="E10" i="17"/>
  <c r="M20" i="4"/>
  <c r="D90" i="15"/>
  <c r="E6" i="6"/>
  <c r="E12" i="6" s="1"/>
  <c r="O20" i="4"/>
  <c r="G6" i="6"/>
  <c r="G12" i="6" s="1"/>
  <c r="G10" i="17"/>
  <c r="F90" i="15"/>
  <c r="C91" i="15"/>
  <c r="D8" i="15"/>
  <c r="F10" i="17"/>
  <c r="N20" i="4"/>
  <c r="E90" i="15"/>
  <c r="F6" i="6"/>
  <c r="F12" i="6" s="1"/>
  <c r="D56" i="2"/>
  <c r="C25" i="12" s="1"/>
  <c r="E21" i="13"/>
  <c r="C21" i="13"/>
  <c r="C22" i="13" s="1"/>
  <c r="D19" i="13" s="1"/>
  <c r="D22" i="13" s="1"/>
  <c r="E19" i="13" s="1"/>
  <c r="E22" i="13" s="1"/>
  <c r="F19" i="13" s="1"/>
  <c r="D21" i="13"/>
  <c r="B14" i="12"/>
  <c r="B9" i="10"/>
  <c r="D9" i="10" s="1"/>
  <c r="D8" i="10"/>
  <c r="E56" i="2"/>
  <c r="F25" i="12" s="1"/>
  <c r="G21" i="13"/>
  <c r="F21" i="13"/>
  <c r="G15" i="5"/>
  <c r="H15" i="5"/>
  <c r="C11" i="17"/>
  <c r="D31" i="17" s="1"/>
  <c r="C18" i="6"/>
  <c r="F31" i="17"/>
  <c r="G31" i="17"/>
  <c r="E31" i="17"/>
  <c r="F53" i="15"/>
  <c r="F70" i="15"/>
  <c r="F11" i="15"/>
  <c r="E11" i="15"/>
  <c r="E70" i="15"/>
  <c r="E53" i="15"/>
  <c r="I9" i="7"/>
  <c r="I8" i="7"/>
  <c r="D11" i="15"/>
  <c r="B53" i="15"/>
  <c r="B70" i="15"/>
  <c r="B11" i="15"/>
  <c r="C53" i="15"/>
  <c r="C70" i="15"/>
  <c r="C11" i="15"/>
  <c r="D70" i="15"/>
  <c r="D53" i="15"/>
  <c r="I7" i="7"/>
  <c r="I6" i="7"/>
  <c r="I5" i="7"/>
  <c r="I8" i="5"/>
  <c r="C21" i="5"/>
  <c r="I21" i="5" s="1"/>
  <c r="G49" i="2"/>
  <c r="G51" i="2" s="1"/>
  <c r="G56" i="2" s="1"/>
  <c r="B9" i="7" s="1"/>
  <c r="B11" i="7" s="1"/>
  <c r="G14" i="5" l="1"/>
  <c r="F30" i="17"/>
  <c r="H14" i="5"/>
  <c r="G30" i="17"/>
  <c r="D91" i="15"/>
  <c r="E8" i="15"/>
  <c r="B10" i="10"/>
  <c r="B25" i="10" s="1"/>
  <c r="D25" i="10" s="1"/>
  <c r="F14" i="5"/>
  <c r="E30" i="17"/>
  <c r="F22" i="13"/>
  <c r="G19" i="13" s="1"/>
  <c r="G22" i="13" s="1"/>
  <c r="B5" i="14"/>
  <c r="H14" i="12"/>
  <c r="G25" i="12"/>
  <c r="J10" i="14" s="1"/>
  <c r="J9" i="14"/>
  <c r="D10" i="10"/>
  <c r="J6" i="14"/>
  <c r="D25" i="12"/>
  <c r="C7" i="11"/>
  <c r="B38" i="10"/>
  <c r="B39" i="10"/>
  <c r="B11" i="17"/>
  <c r="D15" i="5" s="1"/>
  <c r="E15" i="5"/>
  <c r="B59" i="15"/>
  <c r="B61" i="15" s="1"/>
  <c r="D59" i="15"/>
  <c r="D61" i="15" s="1"/>
  <c r="D16" i="15"/>
  <c r="D92" i="15" s="1"/>
  <c r="E59" i="15"/>
  <c r="E61" i="15" s="1"/>
  <c r="D76" i="15"/>
  <c r="D78" i="15" s="1"/>
  <c r="E76" i="15"/>
  <c r="F59" i="15"/>
  <c r="F61" i="15" s="1"/>
  <c r="C76" i="15"/>
  <c r="C78" i="15" s="1"/>
  <c r="C59" i="15"/>
  <c r="C61" i="15" s="1"/>
  <c r="F76" i="15"/>
  <c r="F78" i="15" s="1"/>
  <c r="I11" i="7"/>
  <c r="M18" i="7" s="1"/>
  <c r="B16" i="15"/>
  <c r="B17" i="15" s="1"/>
  <c r="J93" i="3"/>
  <c r="L93" i="3" s="1"/>
  <c r="N92" i="3" s="1"/>
  <c r="B28" i="15" s="1"/>
  <c r="C16" i="15"/>
  <c r="C17" i="15" s="1"/>
  <c r="J94" i="3"/>
  <c r="L94" i="3" s="1"/>
  <c r="N93" i="3" s="1"/>
  <c r="B76" i="15"/>
  <c r="J95" i="3"/>
  <c r="L95" i="3" s="1"/>
  <c r="N94" i="3" s="1"/>
  <c r="E16" i="15"/>
  <c r="F8" i="15" l="1"/>
  <c r="E91" i="15"/>
  <c r="E25" i="12"/>
  <c r="J7" i="14"/>
  <c r="B92" i="15"/>
  <c r="C31" i="17"/>
  <c r="B125" i="15"/>
  <c r="C17" i="17"/>
  <c r="C80" i="15"/>
  <c r="F80" i="15"/>
  <c r="F41" i="10" s="1"/>
  <c r="B31" i="17"/>
  <c r="C15" i="5"/>
  <c r="E130" i="15"/>
  <c r="E8" i="9" s="1"/>
  <c r="E109" i="15"/>
  <c r="E131" i="15"/>
  <c r="F109" i="15"/>
  <c r="F131" i="15"/>
  <c r="F130" i="15"/>
  <c r="F8" i="9" s="1"/>
  <c r="B109" i="15"/>
  <c r="B131" i="15"/>
  <c r="B130" i="15"/>
  <c r="B8" i="9" s="1"/>
  <c r="D110" i="15"/>
  <c r="D80" i="15"/>
  <c r="D130" i="15"/>
  <c r="D8" i="9" s="1"/>
  <c r="D131" i="15"/>
  <c r="D109" i="15"/>
  <c r="C39" i="15"/>
  <c r="C94" i="15"/>
  <c r="B39" i="15"/>
  <c r="B94" i="15"/>
  <c r="F132" i="15"/>
  <c r="F110" i="15"/>
  <c r="C131" i="15"/>
  <c r="C109" i="15"/>
  <c r="C130" i="15"/>
  <c r="C8" i="9" s="1"/>
  <c r="E17" i="15"/>
  <c r="E20" i="15" s="1"/>
  <c r="E129" i="15" s="1"/>
  <c r="E92" i="15"/>
  <c r="C20" i="15"/>
  <c r="C129" i="15" s="1"/>
  <c r="E28" i="15"/>
  <c r="F17" i="17" s="1"/>
  <c r="F28" i="15"/>
  <c r="G17" i="17" s="1"/>
  <c r="B78" i="15"/>
  <c r="D28" i="15"/>
  <c r="E17" i="17" s="1"/>
  <c r="C28" i="15"/>
  <c r="D17" i="17" s="1"/>
  <c r="C92" i="15"/>
  <c r="B20" i="15"/>
  <c r="B129" i="15" s="1"/>
  <c r="B19" i="15"/>
  <c r="B128" i="15" s="1"/>
  <c r="D17" i="15"/>
  <c r="D20" i="15" s="1"/>
  <c r="D129" i="15" s="1"/>
  <c r="F81" i="15"/>
  <c r="C110" i="15"/>
  <c r="C19" i="15"/>
  <c r="C128" i="15" s="1"/>
  <c r="C81" i="15"/>
  <c r="E78" i="15"/>
  <c r="E80" i="15" s="1"/>
  <c r="E41" i="10" s="1"/>
  <c r="D81" i="15"/>
  <c r="F91" i="15" l="1"/>
  <c r="F16" i="15"/>
  <c r="F17" i="15" s="1"/>
  <c r="J8" i="14"/>
  <c r="J12" i="14" s="1"/>
  <c r="B10" i="14" s="1"/>
  <c r="B28" i="14" s="1"/>
  <c r="H25" i="12"/>
  <c r="C18" i="17"/>
  <c r="C20" i="17" s="1"/>
  <c r="D133" i="15"/>
  <c r="D134" i="15" s="1"/>
  <c r="D40" i="10"/>
  <c r="G8" i="9"/>
  <c r="C132" i="15"/>
  <c r="C41" i="10"/>
  <c r="F133" i="15"/>
  <c r="F40" i="10"/>
  <c r="C133" i="15"/>
  <c r="C134" i="15" s="1"/>
  <c r="C135" i="15" s="1"/>
  <c r="C40" i="10"/>
  <c r="D132" i="15"/>
  <c r="D41" i="10"/>
  <c r="D18" i="17"/>
  <c r="D20" i="17" s="1"/>
  <c r="E18" i="17"/>
  <c r="F18" i="17"/>
  <c r="G18" i="17"/>
  <c r="E81" i="15"/>
  <c r="I15" i="5"/>
  <c r="B110" i="15"/>
  <c r="B80" i="15"/>
  <c r="F125" i="15"/>
  <c r="D94" i="15"/>
  <c r="D39" i="15"/>
  <c r="C125" i="15"/>
  <c r="E125" i="15"/>
  <c r="B81" i="15"/>
  <c r="E110" i="15"/>
  <c r="E132" i="15"/>
  <c r="D125" i="15"/>
  <c r="D19" i="15"/>
  <c r="D128" i="15" s="1"/>
  <c r="E94" i="15"/>
  <c r="E39" i="15"/>
  <c r="E19" i="15"/>
  <c r="E128" i="15" s="1"/>
  <c r="G20" i="17" l="1"/>
  <c r="C17" i="10"/>
  <c r="D17" i="10" s="1"/>
  <c r="F39" i="15"/>
  <c r="F94" i="15"/>
  <c r="E20" i="17"/>
  <c r="F92" i="15"/>
  <c r="F19" i="15"/>
  <c r="F128" i="15" s="1"/>
  <c r="K140" i="15" s="1"/>
  <c r="K141" i="15" s="1"/>
  <c r="F20" i="15"/>
  <c r="F129" i="15" s="1"/>
  <c r="J141" i="15" s="1"/>
  <c r="B12" i="14"/>
  <c r="L24" i="14" s="1"/>
  <c r="D9" i="9"/>
  <c r="B132" i="15"/>
  <c r="B41" i="10"/>
  <c r="F9" i="9"/>
  <c r="C9" i="9"/>
  <c r="E133" i="15"/>
  <c r="E134" i="15" s="1"/>
  <c r="E135" i="15" s="1"/>
  <c r="E40" i="10"/>
  <c r="B133" i="15"/>
  <c r="C141" i="15" s="1"/>
  <c r="B40" i="10"/>
  <c r="F20" i="17"/>
  <c r="D135" i="15"/>
  <c r="L140" i="15" l="1"/>
  <c r="F134" i="15"/>
  <c r="F135" i="15" s="1"/>
  <c r="L141" i="15"/>
  <c r="E9" i="9"/>
  <c r="B134" i="15"/>
  <c r="B135" i="15" s="1"/>
  <c r="D140" i="15"/>
  <c r="B9" i="9"/>
  <c r="E140" i="15" l="1"/>
  <c r="D141" i="15"/>
  <c r="E141" i="15" s="1"/>
  <c r="G9" i="9"/>
  <c r="K51" i="3"/>
  <c r="K39" i="3" l="1"/>
  <c r="B31" i="15" s="1"/>
  <c r="D30" i="15"/>
  <c r="F30" i="15"/>
  <c r="B30" i="15"/>
  <c r="C30" i="15"/>
  <c r="E30" i="15"/>
  <c r="K40" i="3"/>
  <c r="J88" i="3"/>
  <c r="K50" i="3"/>
  <c r="J56" i="3" l="1"/>
  <c r="G25" i="15" s="1"/>
  <c r="L21" i="4"/>
  <c r="L24" i="4" s="1"/>
  <c r="D32" i="17"/>
  <c r="K52" i="3"/>
  <c r="G30" i="15" s="1"/>
  <c r="K21" i="4" s="1"/>
  <c r="J89" i="3"/>
  <c r="G26" i="15" s="1"/>
  <c r="G31" i="15"/>
  <c r="K22" i="4" s="1"/>
  <c r="F26" i="15"/>
  <c r="C26" i="15"/>
  <c r="B26" i="15"/>
  <c r="E26" i="15"/>
  <c r="D26" i="15"/>
  <c r="C32" i="17"/>
  <c r="C15" i="6" s="1"/>
  <c r="O21" i="4"/>
  <c r="O24" i="4" s="1"/>
  <c r="G32" i="17"/>
  <c r="J53" i="3"/>
  <c r="N21" i="4"/>
  <c r="N24" i="4" s="1"/>
  <c r="F32" i="17"/>
  <c r="E32" i="17"/>
  <c r="M21" i="4"/>
  <c r="M24" i="4" s="1"/>
  <c r="M25" i="4" s="1"/>
  <c r="E33" i="17" s="1"/>
  <c r="E16" i="6" s="1"/>
  <c r="K53" i="3" l="1"/>
  <c r="G15" i="6"/>
  <c r="C34" i="15"/>
  <c r="F15" i="6"/>
  <c r="O25" i="4"/>
  <c r="G33" i="17" s="1"/>
  <c r="G16" i="6" s="1"/>
  <c r="D34" i="15"/>
  <c r="D35" i="15" s="1"/>
  <c r="F34" i="15"/>
  <c r="F35" i="15" s="1"/>
  <c r="F42" i="15" s="1"/>
  <c r="E34" i="17"/>
  <c r="E15" i="6"/>
  <c r="E17" i="6" s="1"/>
  <c r="N25" i="4"/>
  <c r="F33" i="17" s="1"/>
  <c r="F16" i="6" s="1"/>
  <c r="E34" i="15"/>
  <c r="E35" i="15" s="1"/>
  <c r="K20" i="4"/>
  <c r="K24" i="4" s="1"/>
  <c r="K25" i="4" s="1"/>
  <c r="C33" i="17" s="1"/>
  <c r="C16" i="6" s="1"/>
  <c r="G35" i="15"/>
  <c r="B10" i="17"/>
  <c r="D15" i="6"/>
  <c r="B34" i="15"/>
  <c r="B35" i="15" s="1"/>
  <c r="L25" i="4" l="1"/>
  <c r="D33" i="17" s="1"/>
  <c r="D16" i="6" s="1"/>
  <c r="D17" i="6" s="1"/>
  <c r="B98" i="15"/>
  <c r="B42" i="15"/>
  <c r="C12" i="17" s="1"/>
  <c r="F98" i="15"/>
  <c r="E42" i="15"/>
  <c r="C14" i="5"/>
  <c r="B9" i="17"/>
  <c r="B30" i="17"/>
  <c r="B34" i="17" s="1"/>
  <c r="B21" i="10" s="1"/>
  <c r="D14" i="5"/>
  <c r="C30" i="17"/>
  <c r="C34" i="17" s="1"/>
  <c r="C21" i="10" s="1"/>
  <c r="C17" i="11" s="1"/>
  <c r="E98" i="15"/>
  <c r="D42" i="15"/>
  <c r="F17" i="6"/>
  <c r="B41" i="15"/>
  <c r="C13" i="6"/>
  <c r="C17" i="6" s="1"/>
  <c r="B97" i="15"/>
  <c r="F43" i="15"/>
  <c r="F46" i="15" s="1"/>
  <c r="G12" i="17"/>
  <c r="F34" i="17"/>
  <c r="G17" i="6"/>
  <c r="E21" i="6"/>
  <c r="E23" i="6" s="1"/>
  <c r="E6" i="11"/>
  <c r="E12" i="11" s="1"/>
  <c r="E14" i="11" s="1"/>
  <c r="C35" i="15"/>
  <c r="G34" i="17"/>
  <c r="D34" i="17" l="1"/>
  <c r="D21" i="6"/>
  <c r="D23" i="6" s="1"/>
  <c r="D6" i="11"/>
  <c r="D12" i="11" s="1"/>
  <c r="D14" i="11" s="1"/>
  <c r="B43" i="15"/>
  <c r="B46" i="15" s="1"/>
  <c r="B37" i="10" s="1"/>
  <c r="E102" i="15"/>
  <c r="E100" i="15"/>
  <c r="D21" i="10"/>
  <c r="B17" i="11"/>
  <c r="F102" i="15"/>
  <c r="G13" i="17" s="1"/>
  <c r="F100" i="15"/>
  <c r="G6" i="11"/>
  <c r="G12" i="11" s="1"/>
  <c r="G14" i="11" s="1"/>
  <c r="F37" i="10"/>
  <c r="G21" i="6"/>
  <c r="G23" i="6" s="1"/>
  <c r="F44" i="15"/>
  <c r="F47" i="15"/>
  <c r="F36" i="10" s="1"/>
  <c r="F43" i="10" s="1"/>
  <c r="B10" i="13"/>
  <c r="B15" i="17"/>
  <c r="B14" i="10"/>
  <c r="D16" i="5"/>
  <c r="D98" i="15"/>
  <c r="C42" i="15"/>
  <c r="B100" i="15"/>
  <c r="B102" i="15"/>
  <c r="F6" i="11"/>
  <c r="F12" i="11" s="1"/>
  <c r="F14" i="11" s="1"/>
  <c r="F21" i="6"/>
  <c r="F23" i="6" s="1"/>
  <c r="C21" i="12"/>
  <c r="D6" i="14"/>
  <c r="I14" i="5"/>
  <c r="C18" i="5"/>
  <c r="C98" i="15"/>
  <c r="C21" i="6"/>
  <c r="C23" i="6" s="1"/>
  <c r="C6" i="11"/>
  <c r="C12" i="11" s="1"/>
  <c r="C14" i="11" s="1"/>
  <c r="D43" i="15"/>
  <c r="E12" i="17"/>
  <c r="E43" i="15"/>
  <c r="F12" i="17"/>
  <c r="G16" i="5" l="1"/>
  <c r="D44" i="15"/>
  <c r="D46" i="15"/>
  <c r="D37" i="10" s="1"/>
  <c r="D47" i="15"/>
  <c r="D36" i="10" s="1"/>
  <c r="D43" i="10" s="1"/>
  <c r="C22" i="5"/>
  <c r="C43" i="15"/>
  <c r="D12" i="17"/>
  <c r="F16" i="5" s="1"/>
  <c r="B15" i="10"/>
  <c r="B21" i="12"/>
  <c r="D5" i="14"/>
  <c r="B18" i="11"/>
  <c r="B44" i="15"/>
  <c r="B47" i="15"/>
  <c r="B36" i="10" s="1"/>
  <c r="B43" i="10" s="1"/>
  <c r="B44" i="10" s="1"/>
  <c r="E44" i="15"/>
  <c r="E47" i="15"/>
  <c r="E36" i="10" s="1"/>
  <c r="E43" i="10" s="1"/>
  <c r="E46" i="15"/>
  <c r="E37" i="10" s="1"/>
  <c r="D102" i="15"/>
  <c r="D100" i="15"/>
  <c r="B24" i="17"/>
  <c r="B15" i="12" s="1"/>
  <c r="B22" i="17"/>
  <c r="B25" i="17" s="1"/>
  <c r="B105" i="15"/>
  <c r="B107" i="15" s="1"/>
  <c r="C13" i="17"/>
  <c r="H16" i="5"/>
  <c r="C102" i="15"/>
  <c r="C105" i="15" s="1"/>
  <c r="C100" i="15"/>
  <c r="F44" i="10"/>
  <c r="F105" i="15"/>
  <c r="F107" i="15" s="1"/>
  <c r="F13" i="17"/>
  <c r="G9" i="17"/>
  <c r="F5" i="9" l="1"/>
  <c r="F112" i="15"/>
  <c r="E44" i="10"/>
  <c r="C44" i="15"/>
  <c r="C47" i="15"/>
  <c r="C36" i="10" s="1"/>
  <c r="C43" i="10" s="1"/>
  <c r="C46" i="15"/>
  <c r="C37" i="10" s="1"/>
  <c r="D17" i="5"/>
  <c r="C9" i="17"/>
  <c r="E105" i="15"/>
  <c r="E107" i="15" s="1"/>
  <c r="E13" i="17"/>
  <c r="G17" i="5" s="1"/>
  <c r="G18" i="5" s="1"/>
  <c r="C16" i="11"/>
  <c r="B22" i="10"/>
  <c r="B20" i="10"/>
  <c r="F9" i="17"/>
  <c r="B5" i="9"/>
  <c r="B112" i="15"/>
  <c r="H17" i="5"/>
  <c r="H18" i="5" s="1"/>
  <c r="C107" i="15"/>
  <c r="B36" i="17"/>
  <c r="C4" i="7"/>
  <c r="C23" i="5"/>
  <c r="D44" i="10"/>
  <c r="G10" i="13"/>
  <c r="G15" i="17"/>
  <c r="D105" i="15"/>
  <c r="D107" i="15" s="1"/>
  <c r="D13" i="17"/>
  <c r="E17" i="5" s="1"/>
  <c r="C5" i="14"/>
  <c r="E16" i="5"/>
  <c r="D9" i="17" l="1"/>
  <c r="D10" i="13" s="1"/>
  <c r="D112" i="15"/>
  <c r="D5" i="9"/>
  <c r="G22" i="5"/>
  <c r="G23" i="5" s="1"/>
  <c r="F26" i="6" s="1"/>
  <c r="H22" i="5"/>
  <c r="H23" i="5" s="1"/>
  <c r="G26" i="6" s="1"/>
  <c r="B23" i="10"/>
  <c r="D18" i="5"/>
  <c r="B114" i="15"/>
  <c r="B116" i="15"/>
  <c r="F17" i="5"/>
  <c r="F18" i="5" s="1"/>
  <c r="E9" i="17"/>
  <c r="E18" i="5"/>
  <c r="I16" i="5"/>
  <c r="G5" i="14"/>
  <c r="B26" i="6"/>
  <c r="C25" i="5"/>
  <c r="C16" i="12"/>
  <c r="B6" i="9"/>
  <c r="E5" i="9"/>
  <c r="E112" i="15"/>
  <c r="F114" i="15"/>
  <c r="F116" i="15"/>
  <c r="C5" i="9"/>
  <c r="C112" i="15"/>
  <c r="F10" i="13"/>
  <c r="F15" i="17"/>
  <c r="C18" i="11"/>
  <c r="C10" i="13"/>
  <c r="C14" i="10"/>
  <c r="C15" i="17"/>
  <c r="C44" i="10"/>
  <c r="G16" i="12"/>
  <c r="F6" i="9"/>
  <c r="F11" i="9" s="1"/>
  <c r="D15" i="17" l="1"/>
  <c r="D24" i="17" s="1"/>
  <c r="D15" i="12" s="1"/>
  <c r="D16" i="11"/>
  <c r="E22" i="5"/>
  <c r="E23" i="5" s="1"/>
  <c r="D26" i="6" s="1"/>
  <c r="B118" i="15"/>
  <c r="B117" i="15"/>
  <c r="D8" i="7"/>
  <c r="F17" i="11"/>
  <c r="C114" i="15"/>
  <c r="C116" i="15"/>
  <c r="F16" i="12"/>
  <c r="E6" i="9"/>
  <c r="E11" i="9" s="1"/>
  <c r="C24" i="17"/>
  <c r="C15" i="12" s="1"/>
  <c r="C19" i="11"/>
  <c r="D16" i="12"/>
  <c r="C6" i="9"/>
  <c r="C11" i="9" s="1"/>
  <c r="F118" i="15"/>
  <c r="F117" i="15"/>
  <c r="B11" i="9"/>
  <c r="D4" i="7"/>
  <c r="B27" i="6"/>
  <c r="C25" i="6" s="1"/>
  <c r="E10" i="13"/>
  <c r="E15" i="17"/>
  <c r="F24" i="17" s="1"/>
  <c r="F15" i="12" s="1"/>
  <c r="B26" i="10"/>
  <c r="G25" i="5"/>
  <c r="H10" i="14"/>
  <c r="F12" i="9"/>
  <c r="G19" i="12" s="1"/>
  <c r="E10" i="14" s="1"/>
  <c r="C15" i="10"/>
  <c r="D14" i="10"/>
  <c r="G5" i="9"/>
  <c r="M5" i="14"/>
  <c r="F22" i="5"/>
  <c r="F23" i="5" s="1"/>
  <c r="E26" i="6" s="1"/>
  <c r="D22" i="5"/>
  <c r="B6" i="8"/>
  <c r="I18" i="5"/>
  <c r="D9" i="7"/>
  <c r="G17" i="11"/>
  <c r="E16" i="12"/>
  <c r="D6" i="9"/>
  <c r="D11" i="9" s="1"/>
  <c r="G24" i="17"/>
  <c r="G15" i="12" s="1"/>
  <c r="E114" i="15"/>
  <c r="E116" i="15"/>
  <c r="I17" i="5"/>
  <c r="H25" i="5"/>
  <c r="D116" i="15"/>
  <c r="D114" i="15"/>
  <c r="C21" i="11" l="1"/>
  <c r="B11" i="13"/>
  <c r="H16" i="12"/>
  <c r="F120" i="15"/>
  <c r="F124" i="15" s="1"/>
  <c r="F126" i="15" s="1"/>
  <c r="F25" i="5"/>
  <c r="B120" i="15"/>
  <c r="B124" i="15" s="1"/>
  <c r="B126" i="15" s="1"/>
  <c r="E117" i="15"/>
  <c r="E118" i="15"/>
  <c r="F6" i="8"/>
  <c r="D10" i="14"/>
  <c r="G21" i="12"/>
  <c r="D23" i="5"/>
  <c r="I22" i="5"/>
  <c r="N5" i="14"/>
  <c r="B27" i="10"/>
  <c r="E12" i="9"/>
  <c r="F19" i="12" s="1"/>
  <c r="E9" i="14" s="1"/>
  <c r="H9" i="14"/>
  <c r="D9" i="14"/>
  <c r="F21" i="12"/>
  <c r="E25" i="5"/>
  <c r="D118" i="15"/>
  <c r="D117" i="15"/>
  <c r="G4" i="7"/>
  <c r="B23" i="13"/>
  <c r="B12" i="13" s="1"/>
  <c r="C11" i="12"/>
  <c r="K6" i="14"/>
  <c r="D12" i="9"/>
  <c r="E19" i="12" s="1"/>
  <c r="E8" i="14" s="1"/>
  <c r="H8" i="14"/>
  <c r="D7" i="7"/>
  <c r="E17" i="11"/>
  <c r="C22" i="10"/>
  <c r="D22" i="10" s="1"/>
  <c r="D15" i="10"/>
  <c r="F13" i="9"/>
  <c r="G17" i="12" s="1"/>
  <c r="E24" i="17"/>
  <c r="E15" i="12" s="1"/>
  <c r="G11" i="9"/>
  <c r="H6" i="14"/>
  <c r="B12" i="9"/>
  <c r="B13" i="9" s="1"/>
  <c r="C118" i="15"/>
  <c r="C117" i="15"/>
  <c r="C7" i="14"/>
  <c r="C9" i="14"/>
  <c r="G6" i="9"/>
  <c r="C12" i="9"/>
  <c r="D19" i="12" s="1"/>
  <c r="E7" i="14" s="1"/>
  <c r="H7" i="14"/>
  <c r="C6" i="14"/>
  <c r="D6" i="7"/>
  <c r="D17" i="11"/>
  <c r="F10" i="14" l="1"/>
  <c r="G13" i="12"/>
  <c r="H9" i="7"/>
  <c r="F121" i="15"/>
  <c r="G19" i="17" s="1"/>
  <c r="G22" i="17" s="1"/>
  <c r="H5" i="7"/>
  <c r="B121" i="15"/>
  <c r="C19" i="17" s="1"/>
  <c r="C22" i="17" s="1"/>
  <c r="C25" i="17" s="1"/>
  <c r="C5" i="7" s="1"/>
  <c r="C120" i="15"/>
  <c r="H6" i="7" s="1"/>
  <c r="E120" i="15"/>
  <c r="E121" i="15" s="1"/>
  <c r="F19" i="17" s="1"/>
  <c r="F22" i="17" s="1"/>
  <c r="G25" i="17" s="1"/>
  <c r="D120" i="15"/>
  <c r="D121" i="15" s="1"/>
  <c r="E19" i="17" s="1"/>
  <c r="E22" i="17" s="1"/>
  <c r="C8" i="14"/>
  <c r="C10" i="14" s="1"/>
  <c r="G10" i="14" s="1"/>
  <c r="F14" i="9"/>
  <c r="G33" i="13" s="1"/>
  <c r="C26" i="6"/>
  <c r="I23" i="5"/>
  <c r="B7" i="8"/>
  <c r="D25" i="5"/>
  <c r="I25" i="5" s="1"/>
  <c r="H12" i="14"/>
  <c r="L6" i="14"/>
  <c r="D8" i="14"/>
  <c r="E21" i="12"/>
  <c r="L4" i="7"/>
  <c r="E5" i="7"/>
  <c r="F5" i="7" s="1"/>
  <c r="D7" i="14"/>
  <c r="D12" i="14" s="1"/>
  <c r="D21" i="12"/>
  <c r="H21" i="12" s="1"/>
  <c r="D18" i="11"/>
  <c r="D19" i="11" s="1"/>
  <c r="G12" i="9"/>
  <c r="C19" i="12"/>
  <c r="C13" i="9"/>
  <c r="H15" i="12"/>
  <c r="C28" i="14" s="1"/>
  <c r="B14" i="9"/>
  <c r="C19" i="10" s="1"/>
  <c r="D13" i="9"/>
  <c r="E13" i="9"/>
  <c r="F17" i="12" s="1"/>
  <c r="F13" i="12" s="1"/>
  <c r="B31" i="10"/>
  <c r="C124" i="15"/>
  <c r="C126" i="15" s="1"/>
  <c r="C17" i="12"/>
  <c r="C13" i="12" s="1"/>
  <c r="E9" i="7"/>
  <c r="F9" i="7" s="1"/>
  <c r="C36" i="17"/>
  <c r="H8" i="7" l="1"/>
  <c r="E8" i="7" s="1"/>
  <c r="F8" i="7" s="1"/>
  <c r="H7" i="7"/>
  <c r="G13" i="9"/>
  <c r="C121" i="15"/>
  <c r="D19" i="17" s="1"/>
  <c r="D22" i="17" s="1"/>
  <c r="D25" i="17" s="1"/>
  <c r="C6" i="7" s="1"/>
  <c r="E124" i="15"/>
  <c r="E126" i="15" s="1"/>
  <c r="D124" i="15"/>
  <c r="D126" i="15" s="1"/>
  <c r="G36" i="17"/>
  <c r="C9" i="7"/>
  <c r="C12" i="14"/>
  <c r="L26" i="14" s="1"/>
  <c r="E6" i="7"/>
  <c r="F6" i="7" s="1"/>
  <c r="F6" i="14"/>
  <c r="M4" i="7"/>
  <c r="D5" i="7"/>
  <c r="D11" i="7" s="1"/>
  <c r="C27" i="6"/>
  <c r="D25" i="6" s="1"/>
  <c r="B32" i="13"/>
  <c r="B23" i="14"/>
  <c r="B32" i="10"/>
  <c r="B7" i="12"/>
  <c r="E17" i="12"/>
  <c r="E13" i="12" s="1"/>
  <c r="D14" i="9"/>
  <c r="E33" i="13" s="1"/>
  <c r="K7" i="14"/>
  <c r="C11" i="13"/>
  <c r="C23" i="13" s="1"/>
  <c r="C12" i="13" s="1"/>
  <c r="D11" i="12"/>
  <c r="D21" i="11"/>
  <c r="C33" i="13"/>
  <c r="D34" i="13" s="1"/>
  <c r="D17" i="12"/>
  <c r="D13" i="12" s="1"/>
  <c r="C14" i="9"/>
  <c r="D33" i="13" s="1"/>
  <c r="E16" i="11"/>
  <c r="F7" i="8"/>
  <c r="B8" i="8"/>
  <c r="C7" i="8" s="1"/>
  <c r="E7" i="7"/>
  <c r="F9" i="14"/>
  <c r="G9" i="14" s="1"/>
  <c r="H19" i="12"/>
  <c r="E6" i="14"/>
  <c r="H11" i="7"/>
  <c r="E14" i="9"/>
  <c r="F33" i="13" s="1"/>
  <c r="G9" i="7"/>
  <c r="F25" i="17"/>
  <c r="H13" i="12" l="1"/>
  <c r="G7" i="8"/>
  <c r="H17" i="12"/>
  <c r="E25" i="17"/>
  <c r="C7" i="7" s="1"/>
  <c r="E11" i="7"/>
  <c r="D36" i="17"/>
  <c r="E34" i="13"/>
  <c r="F34" i="13" s="1"/>
  <c r="G34" i="13" s="1"/>
  <c r="M32" i="14" s="1"/>
  <c r="F7" i="7"/>
  <c r="G14" i="9"/>
  <c r="M31" i="14" s="1"/>
  <c r="G6" i="7"/>
  <c r="F11" i="7"/>
  <c r="D13" i="7" s="1"/>
  <c r="E18" i="11"/>
  <c r="E19" i="11" s="1"/>
  <c r="L7" i="14"/>
  <c r="D27" i="6"/>
  <c r="E25" i="6" s="1"/>
  <c r="D19" i="10"/>
  <c r="C20" i="10"/>
  <c r="C23" i="14"/>
  <c r="C28" i="6"/>
  <c r="F36" i="17"/>
  <c r="C8" i="7"/>
  <c r="G8" i="7" s="1"/>
  <c r="C5" i="8"/>
  <c r="C6" i="8"/>
  <c r="D5" i="12"/>
  <c r="F8" i="14"/>
  <c r="G8" i="14" s="1"/>
  <c r="G5" i="7"/>
  <c r="E36" i="17"/>
  <c r="E12" i="14"/>
  <c r="G6" i="14"/>
  <c r="F8" i="8"/>
  <c r="F7" i="14"/>
  <c r="G7" i="14" s="1"/>
  <c r="B5" i="12"/>
  <c r="M33" i="14" l="1"/>
  <c r="I13" i="12"/>
  <c r="E5" i="8"/>
  <c r="G5" i="8"/>
  <c r="E6" i="8"/>
  <c r="G6" i="8"/>
  <c r="G7" i="7"/>
  <c r="G11" i="7" s="1"/>
  <c r="C8" i="8"/>
  <c r="K8" i="14"/>
  <c r="D11" i="13"/>
  <c r="D23" i="13" s="1"/>
  <c r="D12" i="13" s="1"/>
  <c r="E11" i="12"/>
  <c r="E21" i="11"/>
  <c r="G12" i="14"/>
  <c r="M6" i="14"/>
  <c r="C11" i="7"/>
  <c r="M20" i="7" s="1"/>
  <c r="D24" i="12"/>
  <c r="D27" i="12" s="1"/>
  <c r="J5" i="7"/>
  <c r="C30" i="6"/>
  <c r="C23" i="10"/>
  <c r="D20" i="10"/>
  <c r="F12" i="14"/>
  <c r="H14" i="14" s="1"/>
  <c r="B24" i="12"/>
  <c r="G23" i="14"/>
  <c r="D28" i="6"/>
  <c r="M7" i="14"/>
  <c r="E27" i="6"/>
  <c r="F25" i="6" s="1"/>
  <c r="F16" i="11"/>
  <c r="M29" i="14" l="1"/>
  <c r="E8" i="8"/>
  <c r="E28" i="6"/>
  <c r="F27" i="6"/>
  <c r="G25" i="6" s="1"/>
  <c r="K5" i="7"/>
  <c r="E5" i="12"/>
  <c r="E24" i="12" s="1"/>
  <c r="E27" i="12" s="1"/>
  <c r="G8" i="8"/>
  <c r="D8" i="13"/>
  <c r="D5" i="13" s="1"/>
  <c r="D24" i="13" s="1"/>
  <c r="N6" i="14"/>
  <c r="N7" i="14" s="1"/>
  <c r="J6" i="7"/>
  <c r="K6" i="7" s="1"/>
  <c r="L6" i="7" s="1"/>
  <c r="D30" i="6"/>
  <c r="F18" i="11"/>
  <c r="F19" i="11" s="1"/>
  <c r="H23" i="14"/>
  <c r="B27" i="12"/>
  <c r="B8" i="13" s="1"/>
  <c r="B5" i="13" s="1"/>
  <c r="B24" i="13" s="1"/>
  <c r="C26" i="10"/>
  <c r="D23" i="10"/>
  <c r="D14" i="14"/>
  <c r="L8" i="14"/>
  <c r="E8" i="13" l="1"/>
  <c r="E28" i="12"/>
  <c r="E26" i="14" s="1"/>
  <c r="F26" i="14" s="1"/>
  <c r="G26" i="14" s="1"/>
  <c r="G27" i="6"/>
  <c r="G28" i="6" s="1"/>
  <c r="M8" i="14"/>
  <c r="G16" i="11"/>
  <c r="L5" i="7"/>
  <c r="F28" i="6"/>
  <c r="J7" i="7"/>
  <c r="K7" i="7" s="1"/>
  <c r="L7" i="7" s="1"/>
  <c r="E30" i="6"/>
  <c r="B31" i="13"/>
  <c r="B35" i="13" s="1"/>
  <c r="C27" i="10"/>
  <c r="D26" i="10"/>
  <c r="D31" i="13"/>
  <c r="D35" i="13" s="1"/>
  <c r="D38" i="13" s="1"/>
  <c r="B38" i="13" l="1"/>
  <c r="G18" i="11"/>
  <c r="G23" i="13" s="1"/>
  <c r="G12" i="13" s="1"/>
  <c r="J9" i="7"/>
  <c r="K9" i="7" s="1"/>
  <c r="L9" i="7" s="1"/>
  <c r="G30" i="6"/>
  <c r="J8" i="7"/>
  <c r="F30" i="6"/>
  <c r="N8" i="14"/>
  <c r="K9" i="14"/>
  <c r="E11" i="13"/>
  <c r="E23" i="13" s="1"/>
  <c r="E12" i="13" s="1"/>
  <c r="F11" i="12"/>
  <c r="F21" i="11"/>
  <c r="C31" i="10"/>
  <c r="D27" i="10"/>
  <c r="M5" i="7"/>
  <c r="C32" i="10" l="1"/>
  <c r="D32" i="10" s="1"/>
  <c r="C7" i="12"/>
  <c r="B24" i="14"/>
  <c r="D31" i="10"/>
  <c r="L9" i="14"/>
  <c r="K8" i="7"/>
  <c r="J11" i="7"/>
  <c r="M19" i="7" s="1"/>
  <c r="G19" i="11"/>
  <c r="D14" i="7"/>
  <c r="M6" i="7"/>
  <c r="M7" i="7" s="1"/>
  <c r="F5" i="12"/>
  <c r="F24" i="12" s="1"/>
  <c r="F27" i="12" s="1"/>
  <c r="E5" i="13"/>
  <c r="E24" i="13" s="1"/>
  <c r="G32" i="13" l="1"/>
  <c r="C32" i="13"/>
  <c r="E31" i="10"/>
  <c r="D32" i="13"/>
  <c r="F32" i="13"/>
  <c r="E32" i="13"/>
  <c r="F28" i="12"/>
  <c r="E27" i="14" s="1"/>
  <c r="F27" i="14" s="1"/>
  <c r="G27" i="14" s="1"/>
  <c r="F8" i="13"/>
  <c r="E31" i="13"/>
  <c r="E35" i="13" s="1"/>
  <c r="E38" i="13" s="1"/>
  <c r="L8" i="7"/>
  <c r="K11" i="7"/>
  <c r="C24" i="14"/>
  <c r="C30" i="14" s="1"/>
  <c r="B30" i="14"/>
  <c r="C5" i="12"/>
  <c r="H7" i="12"/>
  <c r="F23" i="13"/>
  <c r="F12" i="13" s="1"/>
  <c r="K10" i="14"/>
  <c r="G11" i="12"/>
  <c r="G21" i="11"/>
  <c r="M9" i="14"/>
  <c r="E30" i="10"/>
  <c r="E32" i="10"/>
  <c r="E29" i="10"/>
  <c r="F5" i="13" l="1"/>
  <c r="F24" i="13" s="1"/>
  <c r="G5" i="12"/>
  <c r="G24" i="12" s="1"/>
  <c r="G27" i="12" s="1"/>
  <c r="H11" i="12"/>
  <c r="M8" i="7"/>
  <c r="M9" i="7" s="1"/>
  <c r="L11" i="7"/>
  <c r="D15" i="7"/>
  <c r="N9" i="14"/>
  <c r="C24" i="12"/>
  <c r="C27" i="12" s="1"/>
  <c r="L10" i="14"/>
  <c r="K12" i="14"/>
  <c r="L25" i="14" s="1"/>
  <c r="H5" i="12" l="1"/>
  <c r="M21" i="7"/>
  <c r="H24" i="12"/>
  <c r="M10" i="14"/>
  <c r="L12" i="14"/>
  <c r="H27" i="12"/>
  <c r="G28" i="12"/>
  <c r="E28" i="14" s="1"/>
  <c r="F28" i="14" s="1"/>
  <c r="G28" i="14" s="1"/>
  <c r="G8" i="13"/>
  <c r="G5" i="13" s="1"/>
  <c r="G24" i="13" s="1"/>
  <c r="F31" i="13"/>
  <c r="F35" i="13" s="1"/>
  <c r="F38" i="13" s="1"/>
  <c r="D15" i="14" l="1"/>
  <c r="D16" i="14"/>
  <c r="G31" i="13"/>
  <c r="G35" i="13" s="1"/>
  <c r="G38" i="13" s="1"/>
  <c r="N10" i="14"/>
  <c r="M12" i="14"/>
  <c r="C28" i="12"/>
  <c r="C8" i="13"/>
  <c r="C5" i="13" s="1"/>
  <c r="C24" i="13" s="1"/>
  <c r="D28" i="12"/>
  <c r="E25" i="14" s="1"/>
  <c r="F25" i="14" s="1"/>
  <c r="G25" i="14" s="1"/>
  <c r="L27" i="14" l="1"/>
  <c r="C31" i="13"/>
  <c r="C35" i="13" s="1"/>
  <c r="L35" i="14" s="1"/>
  <c r="E24" i="14"/>
  <c r="H28" i="12"/>
  <c r="M30" i="14" l="1"/>
  <c r="F24" i="14"/>
  <c r="E30" i="14"/>
  <c r="C38" i="13"/>
  <c r="F30" i="14" l="1"/>
  <c r="G24" i="14"/>
  <c r="G30" i="14" l="1"/>
  <c r="N29" i="14" s="1"/>
  <c r="O29" i="14" s="1"/>
  <c r="D35" i="14"/>
  <c r="L31" i="14"/>
  <c r="H24" i="14"/>
  <c r="H25" i="14" s="1"/>
  <c r="H26" i="14" s="1"/>
  <c r="H27" i="14" s="1"/>
  <c r="L32" i="14" l="1"/>
  <c r="N32" i="14"/>
  <c r="O32" i="14" s="1"/>
  <c r="N30" i="14"/>
  <c r="O30" i="14" s="1"/>
  <c r="L29" i="14"/>
  <c r="N31" i="14"/>
  <c r="O31" i="14" s="1"/>
  <c r="L30" i="14"/>
  <c r="N33" i="14"/>
  <c r="O33" i="14" s="1"/>
  <c r="H28" i="14"/>
  <c r="D33" i="14" s="1"/>
  <c r="D34" i="14"/>
  <c r="L33" i="14"/>
</calcChain>
</file>

<file path=xl/comments1.xml><?xml version="1.0" encoding="utf-8"?>
<comments xmlns="http://schemas.openxmlformats.org/spreadsheetml/2006/main">
  <authors>
    <author>Matias Fridman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Matias Fridman:</t>
        </r>
        <r>
          <rPr>
            <sz val="9"/>
            <color indexed="81"/>
            <rFont val="Tahoma"/>
            <charset val="1"/>
          </rPr>
          <t xml:space="preserve">
Cambie sobre el de Lucas, pero igual hay que verlo</t>
        </r>
      </text>
    </comment>
  </commentList>
</comments>
</file>

<file path=xl/sharedStrings.xml><?xml version="1.0" encoding="utf-8"?>
<sst xmlns="http://schemas.openxmlformats.org/spreadsheetml/2006/main" count="1130" uniqueCount="720">
  <si>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</si>
  <si>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</si>
  <si>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</si>
  <si>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</si>
  <si>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</si>
  <si>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</si>
  <si>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</si>
  <si>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</si>
  <si>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</si>
  <si>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</rPr>
      <t>2. TODOS</t>
    </r>
    <r>
      <rPr>
        <sz val="10"/>
        <color indexed="9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</rPr>
      <t>FUENTE</t>
    </r>
    <r>
      <rPr>
        <sz val="10"/>
        <color indexed="9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</si>
  <si>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</si>
  <si>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</si>
  <si>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</si>
  <si>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</rPr>
      <t>3.</t>
    </r>
    <r>
      <rPr>
        <sz val="10"/>
        <color indexed="9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</si>
  <si>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</si>
  <si>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</si>
  <si>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</si>
  <si>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</si>
  <si>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</si>
  <si>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</si>
  <si>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</si>
  <si>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</si>
  <si>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</si>
  <si>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</si>
  <si>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</si>
  <si>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</si>
  <si>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</si>
  <si>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</si>
  <si>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</si>
  <si>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</si>
  <si>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</si>
  <si>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</si>
  <si>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</si>
  <si>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</si>
  <si>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</si>
  <si>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</si>
  <si>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</si>
  <si>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</si>
  <si>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</si>
  <si>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</si>
  <si>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</si>
  <si>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</si>
  <si>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</si>
  <si>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</si>
  <si>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</si>
  <si>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</si>
  <si>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</si>
  <si>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</si>
  <si>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Platano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</si>
  <si>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</si>
  <si>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</si>
  <si>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</si>
  <si>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</si>
  <si>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</si>
  <si>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</si>
  <si>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</si>
  <si>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</si>
  <si>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</si>
  <si>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</si>
  <si>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</si>
  <si>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</si>
  <si>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</si>
  <si>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</si>
  <si>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</si>
  <si>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</si>
  <si>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</si>
  <si>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</si>
  <si>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</si>
  <si>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</si>
  <si>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</si>
  <si>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</si>
  <si>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</si>
  <si>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</si>
  <si>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</si>
  <si>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</si>
  <si>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</si>
  <si>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</si>
  <si>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</si>
  <si>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</si>
  <si>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</si>
  <si>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</si>
  <si>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</si>
  <si>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</si>
  <si>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</si>
  <si>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</si>
  <si>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</si>
  <si>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</si>
  <si>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</si>
  <si>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</si>
  <si>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</si>
  <si>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</si>
  <si>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</si>
  <si>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</si>
  <si>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</si>
  <si>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</si>
  <si>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</si>
  <si>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</si>
  <si>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</si>
  <si>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</si>
  <si>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</si>
  <si>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</si>
  <si>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</si>
  <si>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</si>
  <si>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</si>
  <si>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</si>
  <si>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</si>
  <si>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</si>
  <si>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</si>
  <si>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</si>
  <si>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</si>
  <si>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</si>
  <si>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</si>
  <si>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</si>
  <si>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>Personal indirecto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</si>
  <si>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</si>
  <si>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</si>
  <si>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</si>
  <si>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</si>
  <si>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</si>
  <si>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</si>
  <si>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</si>
  <si>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</si>
  <si>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</si>
  <si>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</si>
  <si>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</si>
  <si>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</si>
  <si>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</si>
  <si>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</si>
  <si>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</si>
  <si>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</si>
  <si>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</si>
  <si>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</si>
  <si>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</si>
  <si>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</si>
  <si>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</si>
  <si>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</si>
  <si>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</si>
  <si>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</si>
  <si>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</si>
  <si>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</si>
  <si>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</si>
  <si>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</si>
  <si>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</si>
  <si>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</si>
  <si>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</si>
  <si>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</si>
  <si>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</si>
  <si>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</si>
  <si>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</si>
  <si>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</si>
  <si>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</si>
  <si>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</si>
  <si>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</si>
  <si>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</si>
  <si>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</si>
  <si>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</si>
  <si>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</si>
  <si>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</si>
  <si>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</si>
  <si>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</si>
  <si>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</si>
  <si>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</si>
  <si>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</si>
  <si>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</si>
  <si>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</si>
  <si>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</si>
  <si>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</si>
  <si>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</si>
  <si>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</si>
  <si>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</si>
  <si>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</si>
  <si>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</si>
  <si>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</si>
  <si>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</si>
  <si>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</si>
  <si>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</si>
  <si>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</si>
  <si>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</si>
  <si>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</si>
  <si>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</si>
  <si>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</si>
  <si>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</si>
  <si>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</si>
  <si>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</si>
  <si>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</si>
  <si>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</si>
  <si>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</si>
  <si>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</si>
  <si>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</si>
  <si>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</si>
  <si>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</si>
  <si>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</si>
  <si>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</si>
  <si>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</si>
  <si>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</si>
  <si>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</si>
  <si>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</si>
  <si>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</si>
  <si>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</si>
  <si>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</si>
  <si>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</si>
  <si>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</si>
  <si>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</si>
  <si>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</si>
  <si>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</si>
  <si>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</si>
  <si>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</si>
  <si>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</si>
  <si>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</si>
  <si>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</si>
  <si>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</si>
  <si>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</si>
  <si>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</si>
  <si>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</si>
  <si>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</si>
  <si>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</si>
  <si>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</si>
  <si>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</si>
  <si>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</si>
  <si>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</si>
  <si>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</si>
  <si>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</si>
  <si>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</si>
  <si>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</si>
  <si>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</si>
  <si>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</si>
  <si>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</si>
  <si>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</si>
  <si>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</si>
  <si>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</si>
  <si>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</si>
  <si>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</si>
  <si>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</si>
  <si>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</si>
  <si>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</si>
  <si>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</si>
  <si>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</si>
  <si>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</si>
  <si>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</si>
  <si>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</si>
  <si>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</si>
  <si>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</si>
  <si>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</si>
  <si>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</si>
  <si>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</si>
  <si>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</si>
  <si>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</si>
  <si>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</si>
  <si>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</si>
  <si>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</si>
  <si>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</si>
  <si>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</si>
  <si>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</si>
  <si>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</si>
  <si>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</si>
  <si>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</si>
  <si>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</si>
  <si>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</si>
  <si>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</si>
  <si>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</si>
  <si>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</si>
  <si>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</si>
  <si>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</si>
  <si>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</si>
  <si>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</si>
  <si>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</si>
  <si>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</si>
  <si>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</si>
  <si>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</si>
  <si>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</si>
  <si>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</si>
  <si>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</si>
  <si>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</si>
  <si>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</si>
  <si>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</si>
  <si>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</si>
  <si>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</si>
  <si>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</si>
  <si>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</si>
  <si>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</si>
  <si>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</si>
  <si>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</si>
  <si>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</si>
  <si>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</si>
  <si>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</si>
  <si>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</si>
  <si>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</si>
  <si>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</si>
  <si>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</si>
  <si>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</si>
  <si>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</si>
  <si>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</si>
  <si>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</si>
  <si>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</si>
  <si>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</si>
  <si>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</si>
  <si>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</si>
  <si>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</si>
  <si>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</si>
  <si>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</si>
  <si>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</si>
  <si>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</si>
  <si>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</si>
  <si>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</si>
  <si>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</si>
  <si>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</si>
  <si>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</si>
  <si>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</si>
  <si>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</si>
  <si>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</si>
  <si>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</si>
  <si>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</si>
  <si>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</si>
  <si>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</si>
  <si>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</si>
  <si>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</si>
  <si>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</si>
  <si>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</si>
  <si>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</si>
  <si>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</si>
  <si>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</si>
  <si>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</si>
  <si>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</si>
  <si>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</si>
  <si>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</si>
  <si>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</si>
  <si>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</si>
  <si>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</si>
  <si>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</si>
  <si>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</si>
  <si>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</si>
  <si>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</si>
  <si>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</si>
  <si>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</si>
  <si>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</si>
  <si>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</si>
  <si>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</si>
  <si>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</si>
  <si>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</si>
  <si>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</si>
  <si>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</si>
  <si>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</si>
  <si>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</si>
  <si>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</si>
  <si>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</si>
  <si>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</si>
  <si>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</si>
  <si>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</si>
  <si>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</si>
  <si>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</si>
  <si>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</si>
  <si>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</si>
  <si>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</si>
  <si>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</si>
  <si>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</si>
  <si>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</si>
  <si>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</si>
  <si>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</si>
  <si>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</si>
  <si>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</si>
  <si>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</si>
  <si>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</si>
  <si>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</si>
  <si>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</si>
  <si>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</si>
  <si>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</si>
  <si>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</si>
  <si>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</si>
  <si>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</si>
  <si>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</si>
  <si>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</si>
  <si>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</si>
  <si>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</si>
  <si>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</si>
  <si>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</si>
  <si>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</si>
  <si>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</si>
  <si>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</si>
  <si>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</si>
  <si>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</si>
  <si>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</si>
  <si>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</si>
  <si>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</si>
  <si>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</si>
  <si>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</si>
  <si>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</si>
  <si>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</si>
  <si>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</si>
  <si>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</si>
  <si>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</si>
  <si>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</si>
  <si>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</si>
  <si>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</si>
  <si>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</si>
  <si>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</si>
  <si>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</si>
  <si>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</si>
  <si>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</si>
  <si>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</si>
  <si>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</si>
  <si>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Balance</t>
  </si>
  <si>
    <t>-</t>
  </si>
  <si>
    <t>/porduccion anual</t>
  </si>
  <si>
    <t>0???</t>
  </si>
  <si>
    <t>COSTO MP</t>
  </si>
  <si>
    <t>Consumo MP año 1</t>
  </si>
  <si>
    <t>Costo x unidad de prod</t>
  </si>
  <si>
    <t>Cantidad usada</t>
  </si>
  <si>
    <t>Unidad</t>
  </si>
  <si>
    <t>Consumo MP año 2-5</t>
  </si>
  <si>
    <t>Bobina y tubo</t>
  </si>
  <si>
    <t>kg</t>
  </si>
  <si>
    <t>1 tonelada en U$s</t>
  </si>
  <si>
    <t>Costo MP x unidad</t>
  </si>
  <si>
    <t>Tapon de plástico</t>
  </si>
  <si>
    <t>Un</t>
  </si>
  <si>
    <t>1 Unidad en U$s</t>
  </si>
  <si>
    <t>Tanque de inyectado</t>
  </si>
  <si>
    <t>Cargas sociales</t>
  </si>
  <si>
    <t>SueldoX CARGO</t>
  </si>
  <si>
    <t>Sueld anual</t>
  </si>
  <si>
    <t>Cantidad</t>
  </si>
  <si>
    <t>Sueldo total anual</t>
  </si>
  <si>
    <t>Gerente General</t>
  </si>
  <si>
    <t>Gerente de ventas</t>
  </si>
  <si>
    <t>Gerente de marketing</t>
  </si>
  <si>
    <t>Gerente Financiero</t>
  </si>
  <si>
    <t>Gerente de producción y procesos</t>
  </si>
  <si>
    <t>Gerente de compras</t>
  </si>
  <si>
    <t>Jefe de planta</t>
  </si>
  <si>
    <t>Jefe de mantenimiento</t>
  </si>
  <si>
    <t>Supervisor de logística</t>
  </si>
  <si>
    <t>Supervisor de almacenes</t>
  </si>
  <si>
    <t>Analista de marketing</t>
  </si>
  <si>
    <t>Analista financiero</t>
  </si>
  <si>
    <t>Analista de compras</t>
  </si>
  <si>
    <t>Vendedores</t>
  </si>
  <si>
    <t>Operarios</t>
  </si>
  <si>
    <t>Periodo de pta en marcha</t>
  </si>
  <si>
    <t>meses</t>
  </si>
  <si>
    <t>Exceso de MP en puesta en marcha</t>
  </si>
  <si>
    <t>Consumo de MP despues de la puesta en marcha</t>
  </si>
  <si>
    <t xml:space="preserve">Valor unitario suministrado en KWh </t>
  </si>
  <si>
    <t>Q kw usados</t>
  </si>
  <si>
    <t xml:space="preserve">Consumo MP </t>
  </si>
  <si>
    <t>Producción</t>
  </si>
  <si>
    <t>2 al 5</t>
  </si>
  <si>
    <t>Consumo Total de la materia prima</t>
  </si>
  <si>
    <t>Consumo de mP por producto terminado</t>
  </si>
  <si>
    <t>Consumo de MP en curso y SE</t>
  </si>
  <si>
    <t>Exceso en el consumo debido a la puesta en marcha</t>
  </si>
  <si>
    <t>Costo de la MP incorporada en la mercadería en curso y SE</t>
  </si>
  <si>
    <t>Costo del exeso de la MP en la puesta en marcha</t>
  </si>
  <si>
    <t>(dim tecnico)</t>
  </si>
  <si>
    <t>Obras complementarias</t>
  </si>
  <si>
    <t>$/m2</t>
  </si>
  <si>
    <t>Dólar hoy</t>
  </si>
  <si>
    <t>U$s</t>
  </si>
  <si>
    <t>Balancin</t>
  </si>
  <si>
    <t>Expansora</t>
  </si>
  <si>
    <t>Expansora de cabezal</t>
  </si>
  <si>
    <t>Crimpadora de tanque</t>
  </si>
  <si>
    <t>Banco de pruebas</t>
  </si>
  <si>
    <t>Compresor de tornillos</t>
  </si>
  <si>
    <t>Compresor de aire comp</t>
  </si>
  <si>
    <t>Secadores de aire comp</t>
  </si>
  <si>
    <t>Estanterias</t>
  </si>
  <si>
    <t>Tanque acumulador</t>
  </si>
  <si>
    <t>Zorra</t>
  </si>
  <si>
    <t>Apilador</t>
  </si>
  <si>
    <t>Equipos aux</t>
  </si>
  <si>
    <t>Valor FOB</t>
  </si>
  <si>
    <t>Gastos de importacion</t>
  </si>
  <si>
    <t>Transporte (1 camion)</t>
  </si>
  <si>
    <t>Montaje</t>
  </si>
  <si>
    <t xml:space="preserve">Repuestos </t>
  </si>
  <si>
    <t xml:space="preserve">Patente </t>
  </si>
  <si>
    <t>Esta asi en la guia</t>
  </si>
  <si>
    <t>Consumo Especifico</t>
  </si>
  <si>
    <t>Total de Materia prima en produccion</t>
  </si>
  <si>
    <t>Costo de MC y SE</t>
  </si>
  <si>
    <t>Costo de MC y SE para PM</t>
  </si>
  <si>
    <t>Amortizaciones MC y SE</t>
  </si>
  <si>
    <t>Alícuota anual</t>
  </si>
  <si>
    <t>Imputación esp.</t>
  </si>
  <si>
    <t>Consumo MC en régimen</t>
  </si>
  <si>
    <t xml:space="preserve">Año 1 </t>
  </si>
  <si>
    <t>Año 2 y 3</t>
  </si>
  <si>
    <t>Año 4 y 5</t>
  </si>
  <si>
    <t>Auxiliares y materiales</t>
  </si>
  <si>
    <t>Sector </t>
  </si>
  <si>
    <t>Ubicación</t>
  </si>
  <si>
    <t>Costo</t>
  </si>
  <si>
    <t>Silla de oficina</t>
  </si>
  <si>
    <t>Administración/Comercial</t>
  </si>
  <si>
    <t>Oficina</t>
  </si>
  <si>
    <t>Escritorio</t>
  </si>
  <si>
    <t>Muebles para documentación</t>
  </si>
  <si>
    <t>Estanterías</t>
  </si>
  <si>
    <t>PC</t>
  </si>
  <si>
    <t>Mouse y teclado</t>
  </si>
  <si>
    <t>Mouse pad</t>
  </si>
  <si>
    <t>Monitor</t>
  </si>
  <si>
    <t>Impresora con fax</t>
  </si>
  <si>
    <t>Perchero</t>
  </si>
  <si>
    <t>Kit artículos de librería</t>
  </si>
  <si>
    <t>Teléfono</t>
  </si>
  <si>
    <t>Artefacto de tubo led </t>
  </si>
  <si>
    <t>Luz de emergencia </t>
  </si>
  <si>
    <t>Tubo led</t>
  </si>
  <si>
    <t>Ventana</t>
  </si>
  <si>
    <t>Puerta </t>
  </si>
  <si>
    <t>Modem wifi</t>
  </si>
  <si>
    <t>Aire frío calor</t>
  </si>
  <si>
    <t>Inodoro</t>
  </si>
  <si>
    <t>Administración</t>
  </si>
  <si>
    <t>Baño</t>
  </si>
  <si>
    <t>Dispenser de jabón líquido</t>
  </si>
  <si>
    <t>Espejo </t>
  </si>
  <si>
    <t>Canilla</t>
  </si>
  <si>
    <t>Papel higiénico</t>
  </si>
  <si>
    <t>Dispenser de papel para manos</t>
  </si>
  <si>
    <t>Lavamanos</t>
  </si>
  <si>
    <t>Papel para manos</t>
  </si>
  <si>
    <t>Cinta embaladora</t>
  </si>
  <si>
    <t>Almacen</t>
  </si>
  <si>
    <t>Bancos</t>
  </si>
  <si>
    <t>Administración/Producción</t>
  </si>
  <si>
    <t>Vestuario</t>
  </si>
  <si>
    <t>Armario </t>
  </si>
  <si>
    <t>Cámara de vigilancia</t>
  </si>
  <si>
    <t>Cesto de basura</t>
  </si>
  <si>
    <t>Cesto de reciclables</t>
  </si>
  <si>
    <t>Dispenser de agua</t>
  </si>
  <si>
    <t>Estanterías PP</t>
  </si>
  <si>
    <t>Planta</t>
  </si>
  <si>
    <t>Faja lumbar de seguridad</t>
  </si>
  <si>
    <t>Almacén/Planta</t>
  </si>
  <si>
    <t>Calzado de seguridad</t>
  </si>
  <si>
    <t>Ropa de trabajo</t>
  </si>
  <si>
    <t>Guantes de manipulación</t>
  </si>
  <si>
    <t>Casco</t>
  </si>
  <si>
    <t>Almacén</t>
  </si>
  <si>
    <t>Orejeras</t>
  </si>
  <si>
    <t>Gafas de seguridad</t>
  </si>
  <si>
    <t>Kit primeros auxilios</t>
  </si>
  <si>
    <t>Almacén </t>
  </si>
  <si>
    <t>Botón de emergencia</t>
  </si>
  <si>
    <t>Pañol de herramientos</t>
  </si>
  <si>
    <t>Posters de la empresa</t>
  </si>
  <si>
    <t>Relojes de pared</t>
  </si>
  <si>
    <t>Luces de emergencia</t>
  </si>
  <si>
    <t>Artículos de limpieza</t>
  </si>
  <si>
    <t>Tablero de sector</t>
  </si>
  <si>
    <t>Vehículos vendedor</t>
  </si>
  <si>
    <t>Comercial</t>
  </si>
  <si>
    <t>Bancos para operarios</t>
  </si>
  <si>
    <r>
      <t>Caja de carton</t>
    </r>
    <r>
      <rPr>
        <sz val="14"/>
        <color rgb="FFFF0000"/>
        <rFont val="Arial"/>
        <family val="2"/>
      </rPr>
      <t>*</t>
    </r>
  </si>
  <si>
    <r>
      <t>Pallet</t>
    </r>
    <r>
      <rPr>
        <sz val="14"/>
        <color rgb="FFFF0000"/>
        <rFont val="Arial"/>
        <family val="2"/>
      </rPr>
      <t>**</t>
    </r>
  </si>
  <si>
    <t>Aceite</t>
  </si>
  <si>
    <t>Suma s/ Op (Indirectos)</t>
  </si>
  <si>
    <t>Personal Indirecto MC y SE</t>
  </si>
  <si>
    <t>Año 1 a 5</t>
  </si>
  <si>
    <t>Variable</t>
  </si>
  <si>
    <t>Fijo</t>
  </si>
  <si>
    <t>Amortizacion</t>
  </si>
  <si>
    <t>Administracion</t>
  </si>
  <si>
    <t>Año 2 a 5</t>
  </si>
  <si>
    <t>Radiamax</t>
  </si>
  <si>
    <t>u$s/m2</t>
  </si>
  <si>
    <t>Consumo de Materiales</t>
  </si>
  <si>
    <t>Tasas e Impuestos MC y SE</t>
  </si>
  <si>
    <t xml:space="preserve">Materiales Area Comercialización </t>
  </si>
  <si>
    <t>año 1</t>
  </si>
  <si>
    <t>año 2-N</t>
  </si>
  <si>
    <t xml:space="preserve"> -mantenimiento </t>
  </si>
  <si>
    <t>papelería y útiles</t>
  </si>
  <si>
    <t>artículos de tocador, higiene y limpieza</t>
  </si>
  <si>
    <t>varios--&gt; viaje para gerente general y de producción a china</t>
  </si>
  <si>
    <t>https://www.despegar.com.ar/cp/shop/search/C982/C6738/2019-03-13/2019-03-20/2/0/0/NA/2019-03-13/2019-03-20/2?flow=V-H&amp;from=PSB#/hotel/</t>
  </si>
  <si>
    <t>telefono fijo</t>
  </si>
  <si>
    <t>60$ x mes</t>
  </si>
  <si>
    <t>combustible por vendedor= 1500$ x semana</t>
  </si>
  <si>
    <t xml:space="preserve">empaque y embalaje se gasta en etiquetas, papeles y cajas </t>
  </si>
  <si>
    <t>Gastos varios--&gt; Publicacion en revistas</t>
  </si>
  <si>
    <t>http://comercial.lanacion.com.ar/pages/LNDigital1009.pdf</t>
  </si>
  <si>
    <t> la tasa municipal anual es de 0,80% del valor del inmueble</t>
  </si>
  <si>
    <t>el impuesto inmobiliario anual es el 1% del valor del inmueble</t>
  </si>
  <si>
    <t xml:space="preserve">el impuesto automotor es el 3% anual el valor de los rodados </t>
  </si>
  <si>
    <t>tasa municipal</t>
  </si>
  <si>
    <t>impuesto inmobiliario</t>
  </si>
  <si>
    <t>impuesto automotor</t>
  </si>
  <si>
    <t>Stock de elaborado - incremento IVA inv.</t>
  </si>
  <si>
    <t>AÑO 1</t>
  </si>
  <si>
    <t>AÑO 2</t>
  </si>
  <si>
    <t>AÑO 3</t>
  </si>
  <si>
    <t>AÑO 4</t>
  </si>
  <si>
    <t>AÑO 5</t>
  </si>
  <si>
    <t>Incremento</t>
  </si>
  <si>
    <t>U de medida</t>
  </si>
  <si>
    <t>periode de inst</t>
  </si>
  <si>
    <t>año 2 a 5</t>
  </si>
  <si>
    <t>Ventas</t>
  </si>
  <si>
    <t>t PT</t>
  </si>
  <si>
    <t>Stock 
promedio elaborad</t>
  </si>
  <si>
    <t>Produccion</t>
  </si>
  <si>
    <t>Desperdicio
no recuperables</t>
  </si>
  <si>
    <t>t MP</t>
  </si>
  <si>
    <t>En curos o 
semielborado</t>
  </si>
  <si>
    <t>Consumo de 
materia prima</t>
  </si>
  <si>
    <t>Stock de
materia prima</t>
  </si>
  <si>
    <t>Compra de materia prima</t>
  </si>
  <si>
    <t>unid</t>
  </si>
  <si>
    <t>Porcentaje ventas</t>
  </si>
  <si>
    <t>cv</t>
  </si>
  <si>
    <t>cf</t>
  </si>
  <si>
    <t>ct</t>
  </si>
  <si>
    <t>IxV</t>
  </si>
  <si>
    <t>AVERIGUAR DE DONDE SALEN</t>
  </si>
  <si>
    <t>http://www.edesur.com.ar/cuadrotarifario201808.pdf</t>
  </si>
  <si>
    <t>http://www.bcra.gob.ar/PublicacionesEstadisticas/Tipo_de_cambio_minorista_2.asp</t>
  </si>
  <si>
    <t>Dice indluir MOI pero los pusimos como personal administrativo</t>
  </si>
  <si>
    <t>Mano de obra indirecta</t>
  </si>
  <si>
    <t>HABIA UNOS NUMEROS QUE NO SABIA DE DONDE SALIAN Y LOS SAQUE</t>
  </si>
  <si>
    <t>https://ayuda.movistar.com.ar/pagos-y-facturacion/tarifas/servicios-nacionales/</t>
  </si>
  <si>
    <t>NUMEROS SIN LINK PERO DEBEN SALIR DEL TP2</t>
  </si>
  <si>
    <t>CORRECCIONES QUE AGREGUE</t>
  </si>
  <si>
    <t>LINK EXTERNO LUCAS</t>
  </si>
  <si>
    <t>REVISAR</t>
  </si>
  <si>
    <t>Consumo de EE en SE Y MC</t>
  </si>
  <si>
    <t>Consumo de EE en Puesta en Marcha</t>
  </si>
  <si>
    <t>E-Inv AF y Am'!D56+('F-Cred no renovable'!H21/3)-('F-2 Estructura'!C17*30/365)</t>
  </si>
  <si>
    <t>Chequear que esto sea asi</t>
  </si>
  <si>
    <t>VER</t>
  </si>
  <si>
    <t>(=FORMULA TIR</t>
  </si>
  <si>
    <t>Arreglado</t>
  </si>
  <si>
    <t>Dimensionamineto Tecnico</t>
  </si>
  <si>
    <t>Nos financian la compra del terreno</t>
  </si>
  <si>
    <t>Terreno</t>
  </si>
  <si>
    <t>Nos financia el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</si>
  <si>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</si>
  <si>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</si>
  <si>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</si>
  <si>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</si>
  <si>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</si>
  <si>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</si>
  <si>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</si>
  <si>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</si>
  <si>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</si>
  <si>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Enero</t>
  </si>
  <si>
    <t>Dolares por Kg</t>
  </si>
  <si>
    <t>1 Dólar</t>
  </si>
  <si>
    <t>Pesos</t>
  </si>
  <si>
    <t>Pesos por Kg</t>
  </si>
  <si>
    <t>Meses</t>
  </si>
  <si>
    <t>Compra de Kg</t>
  </si>
  <si>
    <t>Monto por Compra</t>
  </si>
  <si>
    <t>Credito</t>
  </si>
  <si>
    <t>Cancelacion</t>
  </si>
  <si>
    <t>Interes</t>
  </si>
  <si>
    <t xml:space="preserve">Como es financiacion anual del </t>
  </si>
  <si>
    <t>Estos intereses equivalen a un credito anual del</t>
  </si>
  <si>
    <t>Destino:</t>
  </si>
  <si>
    <t>Financiar el 70 % del terreno</t>
  </si>
  <si>
    <t>Importe de la inversion</t>
  </si>
  <si>
    <t>Monto del credito</t>
  </si>
  <si>
    <t xml:space="preserve">Intereses </t>
  </si>
  <si>
    <t>Anual</t>
  </si>
  <si>
    <t xml:space="preserve">Comisiones y gastos bancarios </t>
  </si>
  <si>
    <t xml:space="preserve">Dia </t>
  </si>
  <si>
    <t>Mes</t>
  </si>
  <si>
    <t>Deuda</t>
  </si>
  <si>
    <t>Amortizacion semestral</t>
  </si>
  <si>
    <t>Interes semestral</t>
  </si>
  <si>
    <t>Semestral</t>
  </si>
  <si>
    <t>Amortizacion anual</t>
  </si>
  <si>
    <t>Interes anual</t>
  </si>
  <si>
    <t xml:space="preserve">Gasto Bnacario </t>
  </si>
  <si>
    <t>Cuota</t>
  </si>
  <si>
    <t>Gastos Operatiovs</t>
  </si>
  <si>
    <t>30  6    1</t>
  </si>
  <si>
    <t>31 12   1</t>
  </si>
  <si>
    <t>30  6    2</t>
  </si>
  <si>
    <t>31 12   2</t>
  </si>
  <si>
    <t>30  6    3</t>
  </si>
  <si>
    <t>31 12   3</t>
  </si>
  <si>
    <t>30  6    4</t>
  </si>
  <si>
    <t>31 12   4</t>
  </si>
  <si>
    <t>30  6    5</t>
  </si>
  <si>
    <t>31 12   5</t>
  </si>
  <si>
    <t>8 creditos a 60 dias</t>
  </si>
  <si>
    <t xml:space="preserve">Tasa anual de pago bimestral vencido </t>
  </si>
  <si>
    <t>x</t>
  </si>
  <si>
    <t>Primer semestre</t>
  </si>
  <si>
    <t>Semestral es</t>
  </si>
  <si>
    <t>Segundo semestre</t>
  </si>
  <si>
    <t>=</t>
  </si>
  <si>
    <t>Preguntar porque</t>
  </si>
  <si>
    <t>/</t>
  </si>
  <si>
    <t>Años 2 a 5</t>
  </si>
  <si>
    <t>1 5 -1</t>
  </si>
  <si>
    <t>1 8 -1</t>
  </si>
  <si>
    <t>1 11 -1</t>
  </si>
  <si>
    <t>31 12 -1</t>
  </si>
  <si>
    <t xml:space="preserve">1 1 1 </t>
  </si>
  <si>
    <t>30 6 1</t>
  </si>
  <si>
    <t>31 12 2</t>
  </si>
  <si>
    <t>31 12 1</t>
  </si>
  <si>
    <t>6 coutas semestrales</t>
  </si>
  <si>
    <t>30 6 2</t>
  </si>
  <si>
    <t>30 6 3</t>
  </si>
  <si>
    <t>31 12 3</t>
  </si>
  <si>
    <t>30 6 4</t>
  </si>
  <si>
    <t>31 12 4</t>
  </si>
  <si>
    <t>30 6 5</t>
  </si>
  <si>
    <t>31 12 5</t>
  </si>
  <si>
    <t xml:space="preserve"> </t>
  </si>
  <si>
    <t>TiR</t>
  </si>
  <si>
    <t>Dif</t>
  </si>
  <si>
    <t>CREO QUE ESTA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</si>
</sst>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€_-;\-* #,##0.00\ _€_-;_-* &quot;-&quot;??\ _€_-;_-@_-"/>
    <numFmt numFmtId="164" formatCode="_ * #,##0.00_ ;_ * \-#,##0.00_ ;_ * &quot;-&quot;??_ ;_ @_ "/>
    <numFmt numFmtId="165" formatCode="_-* #,##0.00_-;\-* #,##0.00_-;_-* &quot;-&quot;??_-;_-@_-"/>
    <numFmt numFmtId="166" formatCode="0.00\ %"/>
    <numFmt numFmtId="167" formatCode="_(\$* #,##0.00_);_(\$* \(#,##0.00\);_(\$* \-??_);_(@_)"/>
    <numFmt numFmtId="168" formatCode="0.0"/>
    <numFmt numFmtId="169" formatCode="0.000"/>
    <numFmt numFmtId="170" formatCode="_(* #,##0.00_);_(* \(#,##0.00\);_(* \-??_);_(@_)"/>
    <numFmt numFmtId="171" formatCode="d&quot; de &quot;mmm&quot; de &quot;yy"/>
    <numFmt numFmtId="172" formatCode="_(\$* #,##0.000_);_(\$* \(#,##0.000\);_(\$* \-??_);_(@_)"/>
    <numFmt numFmtId="173" formatCode="&quot;$&quot;\ #,##0.00"/>
    <numFmt numFmtId="174" formatCode="0.0000"/>
    <numFmt numFmtId="175" formatCode="&quot;$&quot;\ #,##0"/>
    <numFmt numFmtId="176" formatCode="_(\$* #,##0_);_(\$* \(#,##0\);_(\$* \-??_);_(@_)"/>
    <numFmt numFmtId="177" formatCode="0.0%"/>
  </numFmts>
  <fonts count="39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sz val="11"/>
      <color rgb="FF252525"/>
      <name val="Arial"/>
      <family val="2"/>
    </font>
    <font>
      <sz val="14"/>
      <color rgb="FF252525"/>
      <name val="Arial"/>
      <family val="2"/>
    </font>
    <font>
      <sz val="14"/>
      <color rgb="FFFF0000"/>
      <name val="Arial"/>
      <family val="2"/>
    </font>
    <font>
      <sz val="10"/>
      <name val="Helvetic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4" tint="-0.24997711111789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C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indexed="59"/>
      </top>
      <bottom style="double">
        <color auto="1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auto="1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59"/>
      </right>
      <top style="medium">
        <color indexed="64"/>
      </top>
      <bottom/>
      <diagonal/>
    </border>
    <border>
      <left style="thin">
        <color indexed="59"/>
      </left>
      <right style="thin">
        <color indexed="59"/>
      </right>
      <top style="medium">
        <color indexed="64"/>
      </top>
      <bottom/>
      <diagonal/>
    </border>
    <border>
      <left style="thin">
        <color indexed="5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medium">
        <color indexed="64"/>
      </right>
      <top/>
      <bottom style="double">
        <color indexed="59"/>
      </bottom>
      <diagonal/>
    </border>
    <border>
      <left style="medium">
        <color indexed="64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hair">
        <color indexed="59"/>
      </bottom>
      <diagonal/>
    </border>
    <border>
      <left style="medium">
        <color indexed="64"/>
      </left>
      <right style="thin">
        <color indexed="59"/>
      </right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medium">
        <color indexed="64"/>
      </bottom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0" fontId="19" fillId="0" borderId="0" applyFill="0" applyBorder="0" applyAlignment="0" applyProtection="0"/>
    <xf numFmtId="167" fontId="19" fillId="0" borderId="0" applyFill="0" applyBorder="0" applyAlignment="0" applyProtection="0"/>
    <xf numFmtId="0" fontId="11" fillId="9" borderId="0" applyNumberFormat="0" applyBorder="0" applyAlignment="0" applyProtection="0"/>
    <xf numFmtId="0" fontId="12" fillId="9" borderId="1" applyNumberFormat="0" applyAlignment="0" applyProtection="0"/>
    <xf numFmtId="0" fontId="12" fillId="9" borderId="1" applyNumberFormat="0" applyAlignment="0" applyProtection="0"/>
    <xf numFmtId="9" fontId="19" fillId="0" borderId="0" applyFill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558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8" borderId="2" xfId="28" applyFont="1" applyFill="1" applyBorder="1" applyAlignment="1" applyProtection="1"/>
    <xf numFmtId="0" fontId="0" fillId="0" borderId="0" xfId="0" applyFont="1" applyAlignment="1">
      <alignment horizontal="right"/>
    </xf>
    <xf numFmtId="0" fontId="14" fillId="8" borderId="2" xfId="0" applyFont="1" applyFill="1" applyBorder="1" applyAlignment="1">
      <alignment horizontal="center"/>
    </xf>
    <xf numFmtId="166" fontId="14" fillId="8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7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7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7" fontId="0" fillId="0" borderId="17" xfId="24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7" fontId="0" fillId="0" borderId="17" xfId="24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7" fontId="0" fillId="0" borderId="12" xfId="24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7" fontId="0" fillId="0" borderId="9" xfId="24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7" fontId="0" fillId="0" borderId="15" xfId="24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7" fontId="0" fillId="0" borderId="19" xfId="24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8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8" fontId="0" fillId="0" borderId="17" xfId="0" applyNumberFormat="1" applyFill="1" applyBorder="1"/>
    <xf numFmtId="168" fontId="0" fillId="0" borderId="19" xfId="0" applyNumberFormat="1" applyFill="1" applyBorder="1"/>
    <xf numFmtId="168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8" fontId="0" fillId="0" borderId="0" xfId="0" applyNumberFormat="1" applyFill="1"/>
    <xf numFmtId="167" fontId="0" fillId="0" borderId="13" xfId="24" applyFont="1" applyFill="1" applyBorder="1" applyAlignment="1" applyProtection="1">
      <protection locked="0"/>
    </xf>
    <xf numFmtId="168" fontId="14" fillId="0" borderId="0" xfId="0" applyNumberFormat="1" applyFont="1" applyFill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17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7" fontId="0" fillId="0" borderId="15" xfId="24" applyFont="1" applyFill="1" applyBorder="1" applyAlignment="1" applyProtection="1">
      <alignment horizontal="center"/>
      <protection locked="0"/>
    </xf>
    <xf numFmtId="167" fontId="0" fillId="0" borderId="18" xfId="24" applyFont="1" applyFill="1" applyBorder="1" applyAlignment="1" applyProtection="1">
      <alignment horizontal="center"/>
      <protection locked="0"/>
    </xf>
    <xf numFmtId="167" fontId="0" fillId="0" borderId="17" xfId="24" applyFont="1" applyFill="1" applyBorder="1" applyAlignment="1" applyProtection="1">
      <alignment horizontal="center"/>
      <protection locked="0"/>
    </xf>
    <xf numFmtId="167" fontId="0" fillId="0" borderId="19" xfId="24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8" fontId="0" fillId="0" borderId="24" xfId="0" applyNumberFormat="1" applyFill="1" applyBorder="1" applyAlignment="1">
      <alignment horizontal="center"/>
    </xf>
    <xf numFmtId="168" fontId="0" fillId="0" borderId="25" xfId="0" applyNumberFormat="1" applyFill="1" applyBorder="1"/>
    <xf numFmtId="0" fontId="14" fillId="0" borderId="23" xfId="0" applyFont="1" applyFill="1" applyBorder="1"/>
    <xf numFmtId="167" fontId="0" fillId="0" borderId="12" xfId="24" applyFont="1" applyFill="1" applyBorder="1" applyAlignment="1" applyProtection="1">
      <alignment horizontal="center"/>
      <protection locked="0"/>
    </xf>
    <xf numFmtId="167" fontId="0" fillId="0" borderId="13" xfId="24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9" fontId="0" fillId="0" borderId="0" xfId="0" applyNumberFormat="1" applyFill="1" applyAlignment="1">
      <alignment horizontal="center"/>
    </xf>
    <xf numFmtId="169" fontId="14" fillId="0" borderId="9" xfId="0" applyNumberFormat="1" applyFont="1" applyFill="1" applyBorder="1" applyAlignment="1">
      <alignment horizontal="center"/>
    </xf>
    <xf numFmtId="169" fontId="14" fillId="0" borderId="10" xfId="0" applyNumberFormat="1" applyFont="1" applyFill="1" applyBorder="1" applyAlignment="1">
      <alignment horizontal="center"/>
    </xf>
    <xf numFmtId="167" fontId="0" fillId="0" borderId="24" xfId="24" applyFont="1" applyFill="1" applyBorder="1" applyAlignment="1" applyProtection="1">
      <alignment horizontal="center"/>
      <protection locked="0"/>
    </xf>
    <xf numFmtId="167" fontId="0" fillId="0" borderId="25" xfId="24" applyFont="1" applyFill="1" applyBorder="1" applyAlignment="1" applyProtection="1">
      <alignment horizontal="center"/>
      <protection locked="0"/>
    </xf>
    <xf numFmtId="9" fontId="0" fillId="0" borderId="24" xfId="28" applyFont="1" applyFill="1" applyBorder="1" applyAlignment="1" applyProtection="1">
      <alignment horizontal="center"/>
      <protection locked="0"/>
    </xf>
    <xf numFmtId="9" fontId="0" fillId="0" borderId="12" xfId="28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7" fontId="0" fillId="0" borderId="10" xfId="24" applyFont="1" applyFill="1" applyBorder="1" applyAlignment="1" applyProtection="1">
      <alignment horizontal="center"/>
      <protection locked="0"/>
    </xf>
    <xf numFmtId="167" fontId="0" fillId="0" borderId="17" xfId="24" applyFont="1" applyFill="1" applyBorder="1" applyAlignment="1" applyProtection="1">
      <alignment horizontal="center"/>
    </xf>
    <xf numFmtId="167" fontId="0" fillId="0" borderId="19" xfId="24" applyFont="1" applyFill="1" applyBorder="1" applyAlignment="1" applyProtection="1">
      <alignment horizontal="center"/>
    </xf>
    <xf numFmtId="9" fontId="0" fillId="0" borderId="17" xfId="28" applyFont="1" applyFill="1" applyBorder="1" applyAlignment="1" applyProtection="1">
      <alignment horizontal="center"/>
      <protection locked="0"/>
    </xf>
    <xf numFmtId="9" fontId="0" fillId="0" borderId="19" xfId="28" applyFont="1" applyFill="1" applyBorder="1" applyAlignment="1" applyProtection="1">
      <alignment horizontal="center"/>
      <protection locked="0"/>
    </xf>
    <xf numFmtId="0" fontId="17" fillId="0" borderId="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167" fontId="14" fillId="0" borderId="17" xfId="24" applyFont="1" applyFill="1" applyBorder="1" applyAlignment="1" applyProtection="1">
      <alignment horizontal="center"/>
      <protection locked="0"/>
    </xf>
    <xf numFmtId="167" fontId="14" fillId="0" borderId="17" xfId="24" applyFont="1" applyFill="1" applyBorder="1" applyAlignment="1" applyProtection="1">
      <alignment horizontal="center"/>
    </xf>
    <xf numFmtId="167" fontId="14" fillId="0" borderId="19" xfId="24" applyFont="1" applyFill="1" applyBorder="1" applyAlignment="1" applyProtection="1">
      <alignment horizontal="center"/>
    </xf>
    <xf numFmtId="9" fontId="0" fillId="0" borderId="17" xfId="28" applyFont="1" applyFill="1" applyBorder="1" applyAlignment="1" applyProtection="1">
      <protection locked="0"/>
    </xf>
    <xf numFmtId="9" fontId="0" fillId="0" borderId="19" xfId="28" applyFont="1" applyFill="1" applyBorder="1" applyAlignment="1" applyProtection="1">
      <protection locked="0"/>
    </xf>
    <xf numFmtId="9" fontId="0" fillId="0" borderId="17" xfId="28" applyFont="1" applyFill="1" applyBorder="1" applyAlignment="1" applyProtection="1"/>
    <xf numFmtId="9" fontId="0" fillId="0" borderId="19" xfId="28" applyFont="1" applyFill="1" applyBorder="1" applyAlignment="1" applyProtection="1"/>
    <xf numFmtId="167" fontId="0" fillId="0" borderId="19" xfId="24" applyFont="1" applyFill="1" applyBorder="1" applyAlignment="1" applyProtection="1"/>
    <xf numFmtId="0" fontId="17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7" fontId="0" fillId="0" borderId="15" xfId="24" applyFont="1" applyFill="1" applyBorder="1" applyAlignment="1" applyProtection="1">
      <alignment horizontal="center"/>
    </xf>
    <xf numFmtId="167" fontId="0" fillId="0" borderId="18" xfId="24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7" fontId="0" fillId="0" borderId="29" xfId="24" applyFont="1" applyFill="1" applyBorder="1" applyAlignment="1" applyProtection="1">
      <alignment horizontal="center"/>
    </xf>
    <xf numFmtId="0" fontId="0" fillId="0" borderId="26" xfId="0" applyFont="1" applyFill="1" applyBorder="1"/>
    <xf numFmtId="167" fontId="0" fillId="0" borderId="30" xfId="24" applyFont="1" applyFill="1" applyBorder="1" applyAlignment="1" applyProtection="1">
      <alignment horizontal="center"/>
      <protection locked="0"/>
    </xf>
    <xf numFmtId="167" fontId="0" fillId="0" borderId="30" xfId="24" applyFont="1" applyFill="1" applyBorder="1" applyAlignment="1" applyProtection="1">
      <alignment horizontal="center"/>
    </xf>
    <xf numFmtId="167" fontId="0" fillId="0" borderId="28" xfId="24" applyFont="1" applyFill="1" applyBorder="1" applyAlignment="1" applyProtection="1">
      <alignment horizontal="center"/>
      <protection locked="0"/>
    </xf>
    <xf numFmtId="0" fontId="17" fillId="0" borderId="20" xfId="0" applyFont="1" applyFill="1" applyBorder="1" applyAlignment="1">
      <alignment horizontal="left"/>
    </xf>
    <xf numFmtId="0" fontId="17" fillId="0" borderId="31" xfId="0" applyFont="1" applyFill="1" applyBorder="1" applyAlignment="1">
      <alignment horizontal="left"/>
    </xf>
    <xf numFmtId="0" fontId="17" fillId="0" borderId="26" xfId="0" applyFont="1" applyFill="1" applyBorder="1" applyAlignment="1">
      <alignment horizontal="center"/>
    </xf>
    <xf numFmtId="0" fontId="17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7" fontId="0" fillId="0" borderId="34" xfId="24" applyFont="1" applyFill="1" applyBorder="1" applyAlignment="1" applyProtection="1">
      <alignment horizontal="center"/>
    </xf>
    <xf numFmtId="0" fontId="0" fillId="0" borderId="35" xfId="0" applyFont="1" applyFill="1" applyBorder="1"/>
    <xf numFmtId="167" fontId="0" fillId="0" borderId="36" xfId="24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7" fontId="0" fillId="0" borderId="36" xfId="24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7" fontId="0" fillId="0" borderId="38" xfId="24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7" fontId="0" fillId="0" borderId="34" xfId="24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7" fontId="0" fillId="0" borderId="2" xfId="24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28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7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7" fontId="14" fillId="0" borderId="12" xfId="24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7" fillId="0" borderId="40" xfId="0" applyFont="1" applyFill="1" applyBorder="1" applyAlignment="1">
      <alignment horizontal="left"/>
    </xf>
    <xf numFmtId="0" fontId="17" fillId="0" borderId="41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67" fontId="14" fillId="0" borderId="13" xfId="24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7" fillId="0" borderId="20" xfId="0" applyFont="1" applyFill="1" applyBorder="1" applyAlignment="1" applyProtection="1">
      <alignment horizontal="left"/>
    </xf>
    <xf numFmtId="0" fontId="17" fillId="0" borderId="21" xfId="0" applyFont="1" applyFill="1" applyBorder="1" applyAlignment="1" applyProtection="1">
      <alignment horizontal="center"/>
    </xf>
    <xf numFmtId="0" fontId="17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7" fontId="14" fillId="0" borderId="18" xfId="24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7" fillId="0" borderId="0" xfId="0" applyFont="1" applyFill="1" applyProtection="1"/>
    <xf numFmtId="0" fontId="17" fillId="0" borderId="31" xfId="0" applyFont="1" applyFill="1" applyBorder="1" applyAlignment="1" applyProtection="1">
      <alignment horizontal="left"/>
    </xf>
    <xf numFmtId="0" fontId="17" fillId="0" borderId="26" xfId="0" applyFont="1" applyFill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7" fillId="0" borderId="8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center"/>
    </xf>
    <xf numFmtId="0" fontId="17" fillId="0" borderId="50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70" fontId="0" fillId="0" borderId="17" xfId="23" applyFont="1" applyFill="1" applyBorder="1" applyAlignment="1" applyProtection="1">
      <protection locked="0"/>
    </xf>
    <xf numFmtId="170" fontId="0" fillId="0" borderId="19" xfId="2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70" fontId="0" fillId="0" borderId="17" xfId="23" applyFont="1" applyFill="1" applyBorder="1" applyAlignment="1" applyProtection="1">
      <alignment horizontal="center"/>
    </xf>
    <xf numFmtId="170" fontId="0" fillId="0" borderId="19" xfId="23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7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center"/>
    </xf>
    <xf numFmtId="169" fontId="0" fillId="0" borderId="0" xfId="0" applyNumberFormat="1" applyFill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7" fontId="1" fillId="0" borderId="0" xfId="0" applyNumberFormat="1" applyFont="1" applyFill="1" applyBorder="1"/>
    <xf numFmtId="0" fontId="18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172" fontId="0" fillId="0" borderId="17" xfId="24" applyNumberFormat="1" applyFont="1" applyFill="1" applyBorder="1" applyAlignment="1" applyProtection="1">
      <protection locked="0"/>
    </xf>
    <xf numFmtId="167" fontId="0" fillId="0" borderId="17" xfId="28" applyNumberFormat="1" applyFont="1" applyFill="1" applyBorder="1" applyAlignment="1" applyProtection="1">
      <protection locked="0"/>
    </xf>
    <xf numFmtId="169" fontId="21" fillId="0" borderId="0" xfId="0" applyNumberFormat="1" applyFont="1" applyFill="1" applyAlignment="1">
      <alignment horizontal="center"/>
    </xf>
    <xf numFmtId="0" fontId="0" fillId="0" borderId="17" xfId="24" applyNumberFormat="1" applyFont="1" applyFill="1" applyBorder="1" applyAlignment="1" applyProtection="1">
      <alignment horizontal="center"/>
      <protection locked="0"/>
    </xf>
    <xf numFmtId="0" fontId="0" fillId="0" borderId="17" xfId="28" applyNumberFormat="1" applyFont="1" applyFill="1" applyBorder="1" applyAlignment="1" applyProtection="1">
      <protection locked="0"/>
    </xf>
    <xf numFmtId="0" fontId="22" fillId="0" borderId="26" xfId="0" applyFont="1" applyFill="1" applyBorder="1"/>
    <xf numFmtId="167" fontId="19" fillId="0" borderId="0" xfId="24" applyFill="1"/>
    <xf numFmtId="167" fontId="19" fillId="0" borderId="17" xfId="24" applyFill="1" applyBorder="1" applyAlignment="1" applyProtection="1">
      <alignment horizontal="center"/>
      <protection locked="0"/>
    </xf>
    <xf numFmtId="0" fontId="0" fillId="0" borderId="54" xfId="0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6" xfId="0" applyFill="1" applyBorder="1" applyAlignment="1">
      <alignment horizontal="right"/>
    </xf>
    <xf numFmtId="0" fontId="0" fillId="0" borderId="57" xfId="0" applyFill="1" applyBorder="1" applyAlignment="1">
      <alignment horizontal="right"/>
    </xf>
    <xf numFmtId="0" fontId="0" fillId="0" borderId="59" xfId="0" applyFill="1" applyBorder="1"/>
    <xf numFmtId="0" fontId="0" fillId="0" borderId="60" xfId="0" applyFill="1" applyBorder="1"/>
    <xf numFmtId="0" fontId="0" fillId="0" borderId="62" xfId="0" applyFill="1" applyBorder="1" applyAlignment="1">
      <alignment horizontal="right"/>
    </xf>
    <xf numFmtId="2" fontId="0" fillId="0" borderId="63" xfId="0" applyNumberFormat="1" applyFill="1" applyBorder="1"/>
    <xf numFmtId="0" fontId="0" fillId="0" borderId="64" xfId="0" applyFill="1" applyBorder="1"/>
    <xf numFmtId="0" fontId="0" fillId="0" borderId="65" xfId="0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0" xfId="0" applyFill="1" applyBorder="1"/>
    <xf numFmtId="173" fontId="0" fillId="0" borderId="56" xfId="0" applyNumberFormat="1" applyFill="1" applyBorder="1"/>
    <xf numFmtId="0" fontId="0" fillId="0" borderId="56" xfId="0" applyFill="1" applyBorder="1" applyAlignment="1">
      <alignment horizontal="center"/>
    </xf>
    <xf numFmtId="173" fontId="0" fillId="0" borderId="57" xfId="0" applyNumberFormat="1" applyFill="1" applyBorder="1"/>
    <xf numFmtId="173" fontId="0" fillId="0" borderId="0" xfId="0" applyNumberFormat="1" applyFill="1" applyBorder="1"/>
    <xf numFmtId="173" fontId="0" fillId="0" borderId="60" xfId="0" applyNumberFormat="1" applyFill="1" applyBorder="1"/>
    <xf numFmtId="0" fontId="0" fillId="0" borderId="60" xfId="0" applyFill="1" applyBorder="1" applyAlignment="1">
      <alignment horizontal="center"/>
    </xf>
    <xf numFmtId="167" fontId="19" fillId="0" borderId="62" xfId="24" applyFill="1" applyBorder="1"/>
    <xf numFmtId="167" fontId="19" fillId="0" borderId="0" xfId="24" applyFill="1" applyBorder="1"/>
    <xf numFmtId="173" fontId="0" fillId="0" borderId="0" xfId="0" applyNumberFormat="1" applyFill="1"/>
    <xf numFmtId="0" fontId="0" fillId="0" borderId="0" xfId="0" applyNumberFormat="1" applyFill="1"/>
    <xf numFmtId="175" fontId="0" fillId="0" borderId="0" xfId="0" applyNumberFormat="1" applyFill="1"/>
    <xf numFmtId="0" fontId="0" fillId="0" borderId="0" xfId="0" applyFill="1" applyAlignment="1"/>
    <xf numFmtId="1" fontId="0" fillId="0" borderId="0" xfId="0" applyNumberFormat="1" applyFill="1"/>
    <xf numFmtId="9" fontId="19" fillId="0" borderId="0" xfId="28" applyFill="1"/>
    <xf numFmtId="0" fontId="21" fillId="0" borderId="0" xfId="0" applyFont="1" applyFill="1"/>
    <xf numFmtId="9" fontId="0" fillId="0" borderId="0" xfId="0" applyNumberFormat="1" applyFill="1"/>
    <xf numFmtId="9" fontId="0" fillId="0" borderId="0" xfId="28" applyFont="1" applyFill="1"/>
    <xf numFmtId="176" fontId="0" fillId="0" borderId="17" xfId="24" applyNumberFormat="1" applyFont="1" applyFill="1" applyBorder="1" applyAlignment="1" applyProtection="1">
      <protection locked="0"/>
    </xf>
    <xf numFmtId="167" fontId="19" fillId="15" borderId="17" xfId="24" applyFont="1" applyFill="1" applyBorder="1" applyAlignment="1" applyProtection="1">
      <protection locked="0"/>
    </xf>
    <xf numFmtId="167" fontId="19" fillId="0" borderId="19" xfId="24" applyFill="1" applyBorder="1" applyAlignment="1" applyProtection="1">
      <alignment horizontal="center"/>
      <protection locked="0"/>
    </xf>
    <xf numFmtId="167" fontId="19" fillId="0" borderId="19" xfId="24" applyFill="1" applyBorder="1" applyAlignment="1" applyProtection="1">
      <protection locked="0"/>
    </xf>
    <xf numFmtId="167" fontId="19" fillId="15" borderId="17" xfId="24" applyFill="1" applyBorder="1" applyAlignment="1" applyProtection="1">
      <alignment horizontal="center"/>
      <protection locked="0"/>
    </xf>
    <xf numFmtId="167" fontId="19" fillId="15" borderId="17" xfId="24" applyFont="1" applyFill="1" applyBorder="1" applyAlignment="1" applyProtection="1">
      <alignment horizontal="center"/>
      <protection locked="0"/>
    </xf>
    <xf numFmtId="167" fontId="19" fillId="15" borderId="19" xfId="24" applyFont="1" applyFill="1" applyBorder="1" applyAlignment="1" applyProtection="1">
      <alignment horizontal="center"/>
      <protection locked="0"/>
    </xf>
    <xf numFmtId="167" fontId="19" fillId="15" borderId="19" xfId="24" applyFont="1" applyFill="1" applyBorder="1" applyAlignment="1" applyProtection="1">
      <protection locked="0"/>
    </xf>
    <xf numFmtId="164" fontId="0" fillId="0" borderId="0" xfId="0" applyNumberFormat="1"/>
    <xf numFmtId="17" fontId="0" fillId="0" borderId="0" xfId="0" applyNumberFormat="1"/>
    <xf numFmtId="167" fontId="0" fillId="0" borderId="0" xfId="0" applyNumberFormat="1"/>
    <xf numFmtId="0" fontId="0" fillId="0" borderId="0" xfId="0"/>
    <xf numFmtId="167" fontId="0" fillId="0" borderId="17" xfId="24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24" fillId="0" borderId="63" xfId="0" applyFont="1" applyBorder="1"/>
    <xf numFmtId="0" fontId="24" fillId="0" borderId="70" xfId="0" applyFont="1" applyBorder="1"/>
    <xf numFmtId="0" fontId="24" fillId="0" borderId="71" xfId="0" applyFont="1" applyBorder="1"/>
    <xf numFmtId="167" fontId="19" fillId="0" borderId="72" xfId="24" applyBorder="1"/>
    <xf numFmtId="0" fontId="24" fillId="0" borderId="55" xfId="0" applyFont="1" applyBorder="1"/>
    <xf numFmtId="167" fontId="19" fillId="0" borderId="57" xfId="24" applyBorder="1"/>
    <xf numFmtId="167" fontId="0" fillId="0" borderId="57" xfId="0" applyNumberFormat="1" applyBorder="1"/>
    <xf numFmtId="0" fontId="24" fillId="0" borderId="59" xfId="0" applyFont="1" applyBorder="1"/>
    <xf numFmtId="167" fontId="19" fillId="0" borderId="62" xfId="24" applyBorder="1"/>
    <xf numFmtId="167" fontId="19" fillId="0" borderId="0" xfId="24"/>
    <xf numFmtId="167" fontId="19" fillId="0" borderId="0" xfId="24" applyAlignment="1">
      <alignment horizontal="center"/>
    </xf>
    <xf numFmtId="0" fontId="24" fillId="0" borderId="76" xfId="0" applyFont="1" applyBorder="1"/>
    <xf numFmtId="0" fontId="24" fillId="0" borderId="75" xfId="0" applyFont="1" applyBorder="1"/>
    <xf numFmtId="0" fontId="24" fillId="0" borderId="73" xfId="0" applyFont="1" applyBorder="1"/>
    <xf numFmtId="0" fontId="24" fillId="0" borderId="74" xfId="0" applyFont="1" applyBorder="1"/>
    <xf numFmtId="0" fontId="0" fillId="11" borderId="0" xfId="0" applyFill="1" applyBorder="1" applyProtection="1">
      <protection locked="0"/>
    </xf>
    <xf numFmtId="167" fontId="0" fillId="0" borderId="0" xfId="0" applyNumberFormat="1" applyFill="1"/>
    <xf numFmtId="0" fontId="0" fillId="0" borderId="0" xfId="0"/>
    <xf numFmtId="0" fontId="0" fillId="0" borderId="0" xfId="0" applyFill="1"/>
    <xf numFmtId="167" fontId="0" fillId="0" borderId="17" xfId="24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right"/>
    </xf>
    <xf numFmtId="9" fontId="0" fillId="0" borderId="0" xfId="0" applyNumberFormat="1" applyFill="1"/>
    <xf numFmtId="0" fontId="0" fillId="0" borderId="0" xfId="0" applyFill="1" applyBorder="1"/>
    <xf numFmtId="0" fontId="0" fillId="0" borderId="0" xfId="0" applyAlignment="1">
      <alignment horizontal="center"/>
    </xf>
    <xf numFmtId="164" fontId="0" fillId="0" borderId="0" xfId="0" applyNumberFormat="1" applyFill="1"/>
    <xf numFmtId="167" fontId="0" fillId="15" borderId="17" xfId="24" applyFont="1" applyFill="1" applyBorder="1" applyAlignment="1" applyProtection="1">
      <alignment horizontal="center"/>
      <protection locked="0"/>
    </xf>
    <xf numFmtId="167" fontId="19" fillId="0" borderId="17" xfId="24" applyFill="1" applyBorder="1" applyAlignment="1" applyProtection="1">
      <protection locked="0"/>
    </xf>
    <xf numFmtId="169" fontId="0" fillId="15" borderId="24" xfId="0" applyNumberFormat="1" applyFill="1" applyBorder="1" applyAlignment="1" applyProtection="1">
      <alignment horizontal="center"/>
      <protection locked="0"/>
    </xf>
    <xf numFmtId="0" fontId="14" fillId="0" borderId="77" xfId="0" applyFont="1" applyFill="1" applyBorder="1"/>
    <xf numFmtId="167" fontId="0" fillId="0" borderId="78" xfId="24" applyFont="1" applyFill="1" applyBorder="1" applyAlignment="1" applyProtection="1">
      <alignment horizontal="center"/>
      <protection locked="0"/>
    </xf>
    <xf numFmtId="167" fontId="0" fillId="0" borderId="79" xfId="24" applyFont="1" applyFill="1" applyBorder="1" applyAlignment="1" applyProtection="1">
      <alignment horizontal="center"/>
      <protection locked="0"/>
    </xf>
    <xf numFmtId="167" fontId="19" fillId="0" borderId="34" xfId="24" applyFill="1" applyBorder="1" applyAlignment="1" applyProtection="1">
      <alignment horizontal="center"/>
      <protection locked="0"/>
    </xf>
    <xf numFmtId="167" fontId="19" fillId="0" borderId="15" xfId="24" applyFill="1" applyBorder="1" applyAlignment="1" applyProtection="1">
      <alignment horizontal="center"/>
      <protection locked="0"/>
    </xf>
    <xf numFmtId="167" fontId="19" fillId="0" borderId="29" xfId="24" applyFill="1" applyBorder="1" applyAlignment="1" applyProtection="1">
      <alignment horizontal="center"/>
      <protection locked="0"/>
    </xf>
    <xf numFmtId="167" fontId="19" fillId="0" borderId="18" xfId="24" applyFill="1" applyBorder="1" applyAlignment="1" applyProtection="1">
      <alignment horizontal="center"/>
      <protection locked="0"/>
    </xf>
    <xf numFmtId="167" fontId="19" fillId="0" borderId="36" xfId="24" applyFill="1" applyBorder="1" applyAlignment="1" applyProtection="1">
      <alignment horizontal="center"/>
      <protection locked="0"/>
    </xf>
    <xf numFmtId="164" fontId="0" fillId="0" borderId="17" xfId="24" applyNumberFormat="1" applyFont="1" applyFill="1" applyBorder="1" applyAlignment="1" applyProtection="1">
      <alignment horizontal="center"/>
      <protection locked="0"/>
    </xf>
    <xf numFmtId="0" fontId="26" fillId="0" borderId="0" xfId="0" applyFont="1"/>
    <xf numFmtId="165" fontId="0" fillId="0" borderId="0" xfId="0" applyNumberFormat="1" applyFill="1"/>
    <xf numFmtId="0" fontId="26" fillId="0" borderId="0" xfId="0" applyFont="1" applyFill="1"/>
    <xf numFmtId="167" fontId="19" fillId="15" borderId="9" xfId="24" applyFill="1" applyBorder="1" applyAlignment="1" applyProtection="1">
      <alignment horizontal="center"/>
      <protection locked="0"/>
    </xf>
    <xf numFmtId="167" fontId="19" fillId="15" borderId="19" xfId="24" applyFill="1" applyBorder="1" applyAlignment="1" applyProtection="1">
      <alignment horizontal="center"/>
      <protection locked="0"/>
    </xf>
    <xf numFmtId="167" fontId="19" fillId="15" borderId="17" xfId="24" applyFill="1" applyBorder="1" applyAlignment="1">
      <alignment horizontal="center"/>
    </xf>
    <xf numFmtId="167" fontId="19" fillId="15" borderId="15" xfId="24" applyFont="1" applyFill="1" applyBorder="1" applyAlignment="1" applyProtection="1">
      <alignment horizontal="center"/>
      <protection locked="0"/>
    </xf>
    <xf numFmtId="170" fontId="19" fillId="15" borderId="17" xfId="23" applyFont="1" applyFill="1" applyBorder="1" applyAlignment="1" applyProtection="1">
      <alignment horizontal="center"/>
      <protection locked="0"/>
    </xf>
    <xf numFmtId="170" fontId="19" fillId="15" borderId="19" xfId="23" applyFont="1" applyFill="1" applyBorder="1" applyAlignment="1" applyProtection="1">
      <alignment horizontal="center"/>
      <protection locked="0"/>
    </xf>
    <xf numFmtId="173" fontId="0" fillId="0" borderId="0" xfId="0" applyNumberFormat="1"/>
    <xf numFmtId="2" fontId="0" fillId="0" borderId="0" xfId="0" applyNumberFormat="1" applyFill="1"/>
    <xf numFmtId="167" fontId="0" fillId="14" borderId="17" xfId="24" applyFont="1" applyFill="1" applyBorder="1" applyAlignment="1" applyProtection="1">
      <alignment horizontal="center"/>
      <protection locked="0"/>
    </xf>
    <xf numFmtId="167" fontId="0" fillId="14" borderId="19" xfId="24" applyFont="1" applyFill="1" applyBorder="1" applyAlignment="1" applyProtection="1">
      <alignment horizontal="center"/>
      <protection locked="0"/>
    </xf>
    <xf numFmtId="0" fontId="1" fillId="0" borderId="83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0" fontId="0" fillId="0" borderId="73" xfId="0" applyFill="1" applyBorder="1"/>
    <xf numFmtId="9" fontId="19" fillId="0" borderId="73" xfId="28" applyFill="1" applyBorder="1"/>
    <xf numFmtId="167" fontId="0" fillId="0" borderId="73" xfId="0" applyNumberFormat="1" applyFill="1" applyBorder="1"/>
    <xf numFmtId="167" fontId="19" fillId="0" borderId="73" xfId="24" applyFill="1" applyBorder="1"/>
    <xf numFmtId="170" fontId="0" fillId="0" borderId="73" xfId="0" applyNumberFormat="1" applyFill="1" applyBorder="1"/>
    <xf numFmtId="176" fontId="0" fillId="0" borderId="73" xfId="0" applyNumberFormat="1" applyFill="1" applyBorder="1"/>
    <xf numFmtId="167" fontId="0" fillId="0" borderId="73" xfId="0" applyNumberFormat="1" applyFont="1" applyFill="1" applyBorder="1"/>
    <xf numFmtId="167" fontId="19" fillId="13" borderId="17" xfId="24" applyFill="1" applyBorder="1" applyAlignment="1" applyProtection="1">
      <alignment horizontal="center"/>
      <protection locked="0"/>
    </xf>
    <xf numFmtId="167" fontId="19" fillId="0" borderId="24" xfId="24" applyFill="1" applyBorder="1" applyAlignment="1" applyProtection="1">
      <alignment horizontal="center"/>
      <protection locked="0"/>
    </xf>
    <xf numFmtId="176" fontId="0" fillId="16" borderId="17" xfId="24" applyNumberFormat="1" applyFont="1" applyFill="1" applyBorder="1" applyAlignment="1" applyProtection="1">
      <protection locked="0"/>
    </xf>
    <xf numFmtId="0" fontId="0" fillId="16" borderId="0" xfId="0" applyFill="1"/>
    <xf numFmtId="0" fontId="21" fillId="0" borderId="84" xfId="0" applyFont="1" applyFill="1" applyBorder="1"/>
    <xf numFmtId="0" fontId="0" fillId="0" borderId="85" xfId="0" applyFill="1" applyBorder="1"/>
    <xf numFmtId="0" fontId="0" fillId="0" borderId="85" xfId="0" applyBorder="1"/>
    <xf numFmtId="0" fontId="0" fillId="0" borderId="86" xfId="0" applyBorder="1"/>
    <xf numFmtId="0" fontId="0" fillId="0" borderId="87" xfId="0" applyFill="1" applyBorder="1"/>
    <xf numFmtId="0" fontId="0" fillId="0" borderId="88" xfId="0" applyBorder="1"/>
    <xf numFmtId="0" fontId="21" fillId="0" borderId="87" xfId="0" applyFont="1" applyFill="1" applyBorder="1"/>
    <xf numFmtId="176" fontId="19" fillId="0" borderId="0" xfId="24" applyNumberFormat="1" applyBorder="1"/>
    <xf numFmtId="176" fontId="19" fillId="0" borderId="88" xfId="24" applyNumberFormat="1" applyBorder="1"/>
    <xf numFmtId="0" fontId="0" fillId="0" borderId="87" xfId="0" applyBorder="1"/>
    <xf numFmtId="9" fontId="19" fillId="0" borderId="0" xfId="28" applyBorder="1"/>
    <xf numFmtId="167" fontId="19" fillId="0" borderId="0" xfId="24" applyBorder="1"/>
    <xf numFmtId="0" fontId="0" fillId="16" borderId="0" xfId="0" applyFill="1" applyBorder="1"/>
    <xf numFmtId="0" fontId="0" fillId="0" borderId="89" xfId="0" applyBorder="1"/>
    <xf numFmtId="0" fontId="0" fillId="0" borderId="90" xfId="0" applyBorder="1"/>
    <xf numFmtId="0" fontId="0" fillId="0" borderId="91" xfId="0" applyBorder="1"/>
    <xf numFmtId="0" fontId="0" fillId="16" borderId="0" xfId="0" applyNumberFormat="1" applyFill="1" applyBorder="1"/>
    <xf numFmtId="0" fontId="0" fillId="17" borderId="0" xfId="0" applyFill="1"/>
    <xf numFmtId="0" fontId="0" fillId="18" borderId="0" xfId="0" applyFill="1"/>
    <xf numFmtId="167" fontId="19" fillId="0" borderId="17" xfId="24" applyFont="1" applyFill="1" applyBorder="1" applyAlignment="1" applyProtection="1">
      <protection locked="0"/>
    </xf>
    <xf numFmtId="0" fontId="23" fillId="0" borderId="58" xfId="0" applyFont="1" applyFill="1" applyBorder="1"/>
    <xf numFmtId="2" fontId="0" fillId="0" borderId="61" xfId="0" applyNumberFormat="1" applyFill="1" applyBorder="1"/>
    <xf numFmtId="0" fontId="0" fillId="0" borderId="73" xfId="0" applyFill="1" applyBorder="1" applyAlignment="1">
      <alignment horizontal="left"/>
    </xf>
    <xf numFmtId="16" fontId="0" fillId="0" borderId="73" xfId="0" applyNumberFormat="1" applyFill="1" applyBorder="1"/>
    <xf numFmtId="174" fontId="0" fillId="0" borderId="0" xfId="0" applyNumberFormat="1" applyFill="1"/>
    <xf numFmtId="0" fontId="0" fillId="16" borderId="73" xfId="0" applyFill="1" applyBorder="1"/>
    <xf numFmtId="0" fontId="0" fillId="17" borderId="16" xfId="0" applyFont="1" applyFill="1" applyBorder="1"/>
    <xf numFmtId="173" fontId="0" fillId="17" borderId="0" xfId="0" applyNumberFormat="1" applyFill="1" applyBorder="1"/>
    <xf numFmtId="0" fontId="14" fillId="17" borderId="11" xfId="0" applyFont="1" applyFill="1" applyBorder="1"/>
    <xf numFmtId="169" fontId="19" fillId="17" borderId="12" xfId="24" applyNumberFormat="1" applyFont="1" applyFill="1" applyBorder="1" applyAlignment="1" applyProtection="1">
      <alignment horizontal="center"/>
      <protection locked="0"/>
    </xf>
    <xf numFmtId="174" fontId="0" fillId="19" borderId="73" xfId="0" applyNumberFormat="1" applyFill="1" applyBorder="1"/>
    <xf numFmtId="0" fontId="0" fillId="20" borderId="0" xfId="0" applyFill="1"/>
    <xf numFmtId="0" fontId="0" fillId="19" borderId="0" xfId="0" applyFill="1"/>
    <xf numFmtId="167" fontId="19" fillId="16" borderId="0" xfId="24" applyFill="1"/>
    <xf numFmtId="167" fontId="19" fillId="19" borderId="19" xfId="24" applyFont="1" applyFill="1" applyBorder="1" applyAlignment="1" applyProtection="1">
      <alignment horizontal="center"/>
      <protection locked="0"/>
    </xf>
    <xf numFmtId="0" fontId="0" fillId="19" borderId="73" xfId="0" applyFill="1" applyBorder="1"/>
    <xf numFmtId="167" fontId="19" fillId="0" borderId="17" xfId="24" applyFont="1" applyFill="1" applyBorder="1" applyAlignment="1" applyProtection="1">
      <alignment horizontal="center"/>
      <protection locked="0"/>
    </xf>
    <xf numFmtId="0" fontId="14" fillId="0" borderId="17" xfId="24" applyNumberFormat="1" applyFont="1" applyFill="1" applyBorder="1" applyAlignment="1" applyProtection="1">
      <alignment horizontal="center"/>
      <protection locked="0"/>
    </xf>
    <xf numFmtId="0" fontId="14" fillId="0" borderId="19" xfId="24" applyNumberFormat="1" applyFont="1" applyFill="1" applyBorder="1" applyAlignment="1" applyProtection="1">
      <alignment horizontal="center"/>
      <protection locked="0"/>
    </xf>
    <xf numFmtId="176" fontId="0" fillId="0" borderId="0" xfId="0" applyNumberFormat="1"/>
    <xf numFmtId="167" fontId="19" fillId="17" borderId="19" xfId="24" applyFont="1" applyFill="1" applyBorder="1" applyAlignment="1" applyProtection="1">
      <alignment horizontal="center"/>
      <protection locked="0"/>
    </xf>
    <xf numFmtId="167" fontId="19" fillId="17" borderId="17" xfId="24" applyFill="1" applyBorder="1" applyAlignment="1" applyProtection="1">
      <alignment horizontal="center"/>
      <protection locked="0"/>
    </xf>
    <xf numFmtId="167" fontId="19" fillId="19" borderId="17" xfId="24" applyFont="1" applyFill="1" applyBorder="1" applyAlignment="1" applyProtection="1">
      <alignment horizontal="center"/>
      <protection locked="0"/>
    </xf>
    <xf numFmtId="167" fontId="30" fillId="0" borderId="17" xfId="24" applyFont="1" applyFill="1" applyBorder="1" applyAlignment="1" applyProtection="1">
      <alignment horizontal="center"/>
      <protection locked="0"/>
    </xf>
    <xf numFmtId="167" fontId="30" fillId="0" borderId="19" xfId="24" applyFont="1" applyFill="1" applyBorder="1" applyAlignment="1" applyProtection="1">
      <alignment horizontal="center"/>
      <protection locked="0"/>
    </xf>
    <xf numFmtId="167" fontId="30" fillId="0" borderId="12" xfId="24" applyFont="1" applyFill="1" applyBorder="1" applyAlignment="1" applyProtection="1">
      <alignment horizontal="center"/>
      <protection locked="0"/>
    </xf>
    <xf numFmtId="10" fontId="19" fillId="0" borderId="12" xfId="28" applyNumberFormat="1" applyFill="1" applyBorder="1" applyAlignment="1" applyProtection="1">
      <protection locked="0"/>
    </xf>
    <xf numFmtId="167" fontId="31" fillId="0" borderId="17" xfId="24" applyFont="1" applyFill="1" applyBorder="1" applyAlignment="1" applyProtection="1">
      <alignment horizontal="center"/>
      <protection locked="0"/>
    </xf>
    <xf numFmtId="167" fontId="31" fillId="13" borderId="17" xfId="24" applyFont="1" applyFill="1" applyBorder="1" applyAlignment="1" applyProtection="1">
      <alignment horizontal="center"/>
      <protection locked="0"/>
    </xf>
    <xf numFmtId="167" fontId="31" fillId="13" borderId="19" xfId="24" applyFont="1" applyFill="1" applyBorder="1" applyAlignment="1" applyProtection="1">
      <alignment horizontal="center"/>
      <protection locked="0"/>
    </xf>
    <xf numFmtId="167" fontId="19" fillId="0" borderId="30" xfId="24" applyFill="1" applyBorder="1" applyAlignment="1" applyProtection="1">
      <alignment horizontal="center"/>
      <protection locked="0"/>
    </xf>
    <xf numFmtId="167" fontId="19" fillId="0" borderId="30" xfId="24" applyFill="1" applyBorder="1" applyAlignment="1" applyProtection="1">
      <protection locked="0"/>
    </xf>
    <xf numFmtId="167" fontId="19" fillId="13" borderId="17" xfId="24" applyFill="1" applyBorder="1" applyAlignment="1" applyProtection="1">
      <protection locked="0"/>
    </xf>
    <xf numFmtId="167" fontId="0" fillId="13" borderId="17" xfId="24" quotePrefix="1" applyFont="1" applyFill="1" applyBorder="1" applyAlignment="1" applyProtection="1">
      <alignment horizontal="center"/>
      <protection locked="0"/>
    </xf>
    <xf numFmtId="167" fontId="0" fillId="13" borderId="17" xfId="24" applyFont="1" applyFill="1" applyBorder="1" applyAlignment="1" applyProtection="1">
      <alignment horizontal="center"/>
      <protection locked="0"/>
    </xf>
    <xf numFmtId="167" fontId="19" fillId="0" borderId="9" xfId="24" applyFill="1" applyBorder="1" applyAlignment="1" applyProtection="1">
      <alignment horizontal="center"/>
      <protection locked="0"/>
    </xf>
    <xf numFmtId="167" fontId="19" fillId="0" borderId="10" xfId="24" applyFill="1" applyBorder="1" applyAlignment="1" applyProtection="1">
      <alignment horizontal="center"/>
      <protection locked="0"/>
    </xf>
    <xf numFmtId="0" fontId="0" fillId="13" borderId="0" xfId="0" applyFill="1" applyProtection="1"/>
    <xf numFmtId="167" fontId="19" fillId="14" borderId="17" xfId="24" applyFill="1" applyBorder="1" applyAlignment="1" applyProtection="1">
      <protection locked="0"/>
    </xf>
    <xf numFmtId="167" fontId="19" fillId="14" borderId="19" xfId="24" applyFill="1" applyBorder="1" applyAlignment="1" applyProtection="1">
      <protection locked="0"/>
    </xf>
    <xf numFmtId="167" fontId="0" fillId="0" borderId="15" xfId="24" applyNumberFormat="1" applyFont="1" applyFill="1" applyBorder="1" applyAlignment="1" applyProtection="1">
      <alignment horizontal="center"/>
      <protection locked="0"/>
    </xf>
    <xf numFmtId="167" fontId="33" fillId="0" borderId="15" xfId="24" applyFont="1" applyFill="1" applyBorder="1" applyAlignment="1" applyProtection="1">
      <alignment horizontal="center"/>
      <protection locked="0"/>
    </xf>
    <xf numFmtId="167" fontId="30" fillId="0" borderId="15" xfId="24" applyFont="1" applyFill="1" applyBorder="1" applyAlignment="1" applyProtection="1">
      <alignment horizontal="center"/>
      <protection locked="0"/>
    </xf>
    <xf numFmtId="167" fontId="30" fillId="0" borderId="29" xfId="24" applyFont="1" applyFill="1" applyBorder="1" applyAlignment="1" applyProtection="1">
      <alignment horizontal="center"/>
      <protection locked="0"/>
    </xf>
    <xf numFmtId="167" fontId="30" fillId="0" borderId="18" xfId="24" applyFont="1" applyFill="1" applyBorder="1" applyAlignment="1" applyProtection="1">
      <alignment horizontal="center"/>
      <protection locked="0"/>
    </xf>
    <xf numFmtId="167" fontId="0" fillId="0" borderId="17" xfId="24" applyNumberFormat="1" applyFont="1" applyFill="1" applyBorder="1" applyAlignment="1" applyProtection="1">
      <alignment horizontal="center"/>
      <protection locked="0"/>
    </xf>
    <xf numFmtId="167" fontId="30" fillId="0" borderId="17" xfId="24" applyNumberFormat="1" applyFont="1" applyFill="1" applyBorder="1" applyAlignment="1" applyProtection="1">
      <alignment horizontal="center"/>
      <protection locked="0"/>
    </xf>
    <xf numFmtId="167" fontId="0" fillId="14" borderId="15" xfId="24" applyFont="1" applyFill="1" applyBorder="1" applyAlignment="1" applyProtection="1">
      <alignment horizontal="center"/>
      <protection locked="0"/>
    </xf>
    <xf numFmtId="9" fontId="0" fillId="14" borderId="2" xfId="28" applyFont="1" applyFill="1" applyBorder="1" applyAlignment="1" applyProtection="1">
      <protection locked="0"/>
    </xf>
    <xf numFmtId="167" fontId="33" fillId="0" borderId="38" xfId="24" applyFont="1" applyFill="1" applyBorder="1" applyAlignment="1" applyProtection="1">
      <alignment horizontal="center"/>
      <protection locked="0"/>
    </xf>
    <xf numFmtId="167" fontId="33" fillId="0" borderId="2" xfId="24" applyFont="1" applyFill="1" applyBorder="1" applyAlignment="1" applyProtection="1">
      <protection locked="0"/>
    </xf>
    <xf numFmtId="167" fontId="0" fillId="0" borderId="92" xfId="24" applyFont="1" applyFill="1" applyBorder="1" applyAlignment="1" applyProtection="1">
      <alignment horizontal="center"/>
      <protection locked="0"/>
    </xf>
    <xf numFmtId="167" fontId="0" fillId="0" borderId="94" xfId="24" applyFont="1" applyFill="1" applyBorder="1" applyAlignment="1" applyProtection="1">
      <alignment horizontal="center"/>
    </xf>
    <xf numFmtId="167" fontId="32" fillId="0" borderId="12" xfId="24" applyFont="1" applyFill="1" applyBorder="1" applyAlignment="1" applyProtection="1">
      <alignment horizontal="center"/>
      <protection locked="0"/>
    </xf>
    <xf numFmtId="9" fontId="32" fillId="0" borderId="12" xfId="28" applyFont="1" applyFill="1" applyBorder="1" applyAlignment="1" applyProtection="1">
      <alignment horizontal="center"/>
      <protection locked="0"/>
    </xf>
    <xf numFmtId="9" fontId="32" fillId="0" borderId="13" xfId="28" applyFont="1" applyFill="1" applyBorder="1" applyAlignment="1" applyProtection="1">
      <alignment horizontal="center"/>
      <protection locked="0"/>
    </xf>
    <xf numFmtId="167" fontId="0" fillId="14" borderId="17" xfId="24" applyFont="1" applyFill="1" applyBorder="1" applyAlignment="1" applyProtection="1">
      <protection locked="0"/>
    </xf>
    <xf numFmtId="9" fontId="0" fillId="11" borderId="6" xfId="0" applyNumberFormat="1" applyFill="1" applyBorder="1" applyProtection="1">
      <protection locked="0"/>
    </xf>
    <xf numFmtId="9" fontId="0" fillId="0" borderId="0" xfId="0" applyNumberFormat="1"/>
    <xf numFmtId="0" fontId="0" fillId="0" borderId="84" xfId="0" applyBorder="1"/>
    <xf numFmtId="167" fontId="19" fillId="0" borderId="88" xfId="24" applyBorder="1"/>
    <xf numFmtId="9" fontId="0" fillId="0" borderId="88" xfId="0" applyNumberFormat="1" applyBorder="1"/>
    <xf numFmtId="164" fontId="0" fillId="0" borderId="91" xfId="0" applyNumberFormat="1" applyBorder="1"/>
    <xf numFmtId="9" fontId="0" fillId="11" borderId="2" xfId="0" applyNumberFormat="1" applyFill="1" applyBorder="1" applyProtection="1">
      <protection locked="0"/>
    </xf>
    <xf numFmtId="9" fontId="19" fillId="0" borderId="0" xfId="28"/>
    <xf numFmtId="177" fontId="19" fillId="0" borderId="0" xfId="28" applyNumberFormat="1"/>
    <xf numFmtId="10" fontId="19" fillId="0" borderId="0" xfId="28" applyNumberFormat="1"/>
    <xf numFmtId="167" fontId="19" fillId="0" borderId="0" xfId="24" applyNumberFormat="1"/>
    <xf numFmtId="177" fontId="0" fillId="0" borderId="17" xfId="28" applyNumberFormat="1" applyFont="1" applyFill="1" applyBorder="1" applyAlignment="1" applyProtection="1">
      <alignment horizontal="center"/>
      <protection locked="0"/>
    </xf>
    <xf numFmtId="177" fontId="0" fillId="0" borderId="19" xfId="28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ill="1" applyProtection="1"/>
    <xf numFmtId="9" fontId="19" fillId="13" borderId="0" xfId="28" applyFill="1"/>
    <xf numFmtId="0" fontId="0" fillId="0" borderId="73" xfId="0" applyBorder="1"/>
    <xf numFmtId="0" fontId="0" fillId="0" borderId="51" xfId="0" applyBorder="1"/>
    <xf numFmtId="0" fontId="0" fillId="0" borderId="52" xfId="0" applyBorder="1"/>
    <xf numFmtId="0" fontId="0" fillId="0" borderId="55" xfId="0" applyBorder="1"/>
    <xf numFmtId="0" fontId="0" fillId="0" borderId="57" xfId="0" applyBorder="1"/>
    <xf numFmtId="0" fontId="0" fillId="0" borderId="54" xfId="0" applyBorder="1"/>
    <xf numFmtId="0" fontId="0" fillId="0" borderId="58" xfId="0" applyBorder="1"/>
    <xf numFmtId="0" fontId="0" fillId="0" borderId="97" xfId="0" applyBorder="1"/>
    <xf numFmtId="0" fontId="0" fillId="0" borderId="98" xfId="0" applyBorder="1"/>
    <xf numFmtId="164" fontId="0" fillId="0" borderId="98" xfId="0" applyNumberFormat="1" applyBorder="1"/>
    <xf numFmtId="164" fontId="0" fillId="0" borderId="99" xfId="0" applyNumberFormat="1" applyBorder="1"/>
    <xf numFmtId="0" fontId="0" fillId="0" borderId="66" xfId="0" applyBorder="1"/>
    <xf numFmtId="167" fontId="19" fillId="0" borderId="68" xfId="24" applyBorder="1"/>
    <xf numFmtId="0" fontId="0" fillId="0" borderId="68" xfId="0" applyBorder="1"/>
    <xf numFmtId="167" fontId="0" fillId="0" borderId="68" xfId="0" applyNumberFormat="1" applyBorder="1"/>
    <xf numFmtId="164" fontId="0" fillId="0" borderId="68" xfId="0" applyNumberFormat="1" applyBorder="1"/>
    <xf numFmtId="0" fontId="0" fillId="0" borderId="101" xfId="0" applyBorder="1"/>
    <xf numFmtId="0" fontId="0" fillId="0" borderId="102" xfId="0" applyBorder="1"/>
    <xf numFmtId="164" fontId="0" fillId="0" borderId="102" xfId="0" applyNumberFormat="1" applyBorder="1"/>
    <xf numFmtId="164" fontId="0" fillId="0" borderId="103" xfId="0" applyNumberFormat="1" applyBorder="1"/>
    <xf numFmtId="0" fontId="0" fillId="0" borderId="104" xfId="0" applyBorder="1"/>
    <xf numFmtId="0" fontId="0" fillId="0" borderId="105" xfId="0" applyBorder="1"/>
    <xf numFmtId="164" fontId="0" fillId="0" borderId="105" xfId="0" applyNumberFormat="1" applyBorder="1"/>
    <xf numFmtId="164" fontId="0" fillId="0" borderId="106" xfId="0" applyNumberFormat="1" applyBorder="1"/>
    <xf numFmtId="0" fontId="34" fillId="0" borderId="47" xfId="0" applyFont="1" applyFill="1" applyBorder="1" applyAlignment="1">
      <alignment horizontal="center"/>
    </xf>
    <xf numFmtId="0" fontId="0" fillId="13" borderId="0" xfId="0" applyFill="1"/>
    <xf numFmtId="9" fontId="0" fillId="13" borderId="0" xfId="0" applyNumberFormat="1" applyFill="1"/>
    <xf numFmtId="167" fontId="0" fillId="13" borderId="0" xfId="0" applyNumberFormat="1" applyFill="1"/>
    <xf numFmtId="167" fontId="19" fillId="13" borderId="0" xfId="24" applyFill="1"/>
    <xf numFmtId="0" fontId="34" fillId="0" borderId="107" xfId="0" applyFont="1" applyFill="1" applyBorder="1" applyAlignment="1">
      <alignment horizontal="center"/>
    </xf>
    <xf numFmtId="0" fontId="34" fillId="0" borderId="108" xfId="0" applyFont="1" applyFill="1" applyBorder="1" applyAlignment="1">
      <alignment horizontal="center"/>
    </xf>
    <xf numFmtId="0" fontId="34" fillId="0" borderId="109" xfId="0" applyFont="1" applyFill="1" applyBorder="1" applyAlignment="1">
      <alignment horizontal="center"/>
    </xf>
    <xf numFmtId="0" fontId="34" fillId="0" borderId="110" xfId="0" applyFont="1" applyFill="1" applyBorder="1" applyAlignment="1">
      <alignment horizontal="center"/>
    </xf>
    <xf numFmtId="0" fontId="34" fillId="0" borderId="111" xfId="0" applyFont="1" applyFill="1" applyBorder="1" applyAlignment="1">
      <alignment horizontal="center"/>
    </xf>
    <xf numFmtId="171" fontId="35" fillId="0" borderId="112" xfId="0" applyNumberFormat="1" applyFont="1" applyFill="1" applyBorder="1" applyProtection="1">
      <protection locked="0"/>
    </xf>
    <xf numFmtId="167" fontId="0" fillId="0" borderId="113" xfId="24" applyFont="1" applyFill="1" applyBorder="1" applyAlignment="1" applyProtection="1">
      <alignment horizontal="center"/>
      <protection locked="0"/>
    </xf>
    <xf numFmtId="171" fontId="35" fillId="0" borderId="112" xfId="0" applyNumberFormat="1" applyFont="1" applyFill="1" applyBorder="1" applyAlignment="1" applyProtection="1">
      <alignment horizontal="left"/>
      <protection locked="0"/>
    </xf>
    <xf numFmtId="171" fontId="35" fillId="0" borderId="114" xfId="0" applyNumberFormat="1" applyFont="1" applyFill="1" applyBorder="1" applyAlignment="1" applyProtection="1">
      <alignment horizontal="left"/>
      <protection locked="0"/>
    </xf>
    <xf numFmtId="167" fontId="0" fillId="0" borderId="115" xfId="24" applyFont="1" applyFill="1" applyBorder="1" applyAlignment="1" applyProtection="1">
      <alignment horizontal="center"/>
      <protection locked="0"/>
    </xf>
    <xf numFmtId="167" fontId="0" fillId="0" borderId="116" xfId="24" applyFont="1" applyFill="1" applyBorder="1" applyAlignment="1" applyProtection="1">
      <alignment horizontal="center"/>
      <protection locked="0"/>
    </xf>
    <xf numFmtId="171" fontId="0" fillId="15" borderId="8" xfId="0" applyNumberFormat="1" applyFont="1" applyFill="1" applyBorder="1" applyProtection="1">
      <protection locked="0"/>
    </xf>
    <xf numFmtId="167" fontId="0" fillId="15" borderId="9" xfId="24" applyFont="1" applyFill="1" applyBorder="1" applyAlignment="1" applyProtection="1">
      <alignment horizontal="center"/>
      <protection locked="0"/>
    </xf>
    <xf numFmtId="0" fontId="0" fillId="15" borderId="0" xfId="0" applyFill="1"/>
    <xf numFmtId="171" fontId="0" fillId="15" borderId="16" xfId="0" applyNumberFormat="1" applyFont="1" applyFill="1" applyBorder="1" applyProtection="1">
      <protection locked="0"/>
    </xf>
    <xf numFmtId="0" fontId="14" fillId="15" borderId="0" xfId="0" applyFont="1" applyFill="1" applyBorder="1" applyAlignment="1">
      <alignment horizontal="right"/>
    </xf>
    <xf numFmtId="167" fontId="14" fillId="15" borderId="0" xfId="24" applyFont="1" applyFill="1" applyBorder="1" applyAlignment="1" applyProtection="1">
      <alignment horizontal="center"/>
    </xf>
    <xf numFmtId="167" fontId="0" fillId="15" borderId="15" xfId="24" applyFont="1" applyFill="1" applyBorder="1" applyAlignment="1" applyProtection="1">
      <alignment horizontal="center"/>
      <protection locked="0"/>
    </xf>
    <xf numFmtId="167" fontId="0" fillId="15" borderId="9" xfId="24" applyFont="1" applyFill="1" applyBorder="1" applyAlignment="1" applyProtection="1">
      <protection locked="0"/>
    </xf>
    <xf numFmtId="9" fontId="0" fillId="15" borderId="9" xfId="28" applyFont="1" applyFill="1" applyBorder="1" applyAlignment="1" applyProtection="1">
      <protection locked="0"/>
    </xf>
    <xf numFmtId="167" fontId="0" fillId="15" borderId="18" xfId="24" applyFont="1" applyFill="1" applyBorder="1" applyAlignment="1" applyProtection="1">
      <alignment horizontal="center"/>
      <protection locked="0"/>
    </xf>
    <xf numFmtId="167" fontId="0" fillId="15" borderId="17" xfId="24" applyFont="1" applyFill="1" applyBorder="1" applyAlignment="1" applyProtection="1">
      <protection locked="0"/>
    </xf>
    <xf numFmtId="9" fontId="0" fillId="15" borderId="17" xfId="28" applyFont="1" applyFill="1" applyBorder="1" applyAlignment="1" applyProtection="1">
      <protection locked="0"/>
    </xf>
    <xf numFmtId="167" fontId="0" fillId="15" borderId="19" xfId="24" applyFont="1" applyFill="1" applyBorder="1" applyAlignment="1" applyProtection="1">
      <alignment horizontal="center"/>
      <protection locked="0"/>
    </xf>
    <xf numFmtId="171" fontId="0" fillId="15" borderId="16" xfId="0" applyNumberFormat="1" applyFont="1" applyFill="1" applyBorder="1" applyAlignment="1" applyProtection="1">
      <alignment horizontal="left"/>
      <protection locked="0"/>
    </xf>
    <xf numFmtId="9" fontId="0" fillId="15" borderId="17" xfId="28" applyFont="1" applyFill="1" applyBorder="1" applyAlignment="1" applyProtection="1">
      <alignment horizontal="center"/>
      <protection locked="0"/>
    </xf>
    <xf numFmtId="167" fontId="1" fillId="15" borderId="17" xfId="24" applyFont="1" applyFill="1" applyBorder="1" applyAlignment="1" applyProtection="1">
      <alignment horizontal="center"/>
      <protection locked="0"/>
    </xf>
    <xf numFmtId="167" fontId="19" fillId="0" borderId="0" xfId="24" applyFill="1" applyProtection="1"/>
    <xf numFmtId="167" fontId="0" fillId="15" borderId="17" xfId="24" quotePrefix="1" applyFont="1" applyFill="1" applyBorder="1" applyAlignment="1" applyProtection="1">
      <alignment horizontal="center"/>
      <protection locked="0"/>
    </xf>
    <xf numFmtId="167" fontId="0" fillId="0" borderId="0" xfId="0" applyNumberFormat="1" applyProtection="1"/>
    <xf numFmtId="167" fontId="19" fillId="14" borderId="93" xfId="24" applyFill="1" applyBorder="1" applyProtection="1"/>
    <xf numFmtId="167" fontId="19" fillId="14" borderId="44" xfId="24" applyFill="1" applyBorder="1" applyProtection="1"/>
    <xf numFmtId="167" fontId="0" fillId="0" borderId="0" xfId="0" applyNumberFormat="1" applyFill="1" applyProtection="1"/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" fillId="0" borderId="80" xfId="0" applyFont="1" applyBorder="1" applyAlignment="1">
      <alignment horizontal="center"/>
    </xf>
    <xf numFmtId="0" fontId="1" fillId="0" borderId="81" xfId="0" applyFont="1" applyBorder="1" applyAlignment="1">
      <alignment horizontal="center"/>
    </xf>
    <xf numFmtId="0" fontId="1" fillId="0" borderId="81" xfId="0" applyFont="1" applyBorder="1"/>
    <xf numFmtId="0" fontId="1" fillId="0" borderId="82" xfId="0" applyFont="1" applyBorder="1"/>
    <xf numFmtId="0" fontId="0" fillId="0" borderId="73" xfId="0" applyBorder="1" applyAlignment="1">
      <alignment horizontal="center"/>
    </xf>
    <xf numFmtId="0" fontId="1" fillId="0" borderId="73" xfId="0" applyFont="1" applyBorder="1"/>
    <xf numFmtId="167" fontId="19" fillId="0" borderId="57" xfId="24" applyBorder="1" applyAlignment="1">
      <alignment horizontal="center" vertical="center"/>
    </xf>
    <xf numFmtId="0" fontId="23" fillId="0" borderId="68" xfId="0" applyFont="1" applyFill="1" applyBorder="1" applyAlignment="1">
      <alignment horizontal="left" vertical="center"/>
    </xf>
    <xf numFmtId="0" fontId="23" fillId="0" borderId="69" xfId="0" applyFont="1" applyFill="1" applyBorder="1" applyAlignment="1">
      <alignment horizontal="left" vertical="center"/>
    </xf>
    <xf numFmtId="0" fontId="23" fillId="0" borderId="68" xfId="0" applyFont="1" applyBorder="1" applyAlignment="1">
      <alignment horizontal="left" vertical="center"/>
    </xf>
    <xf numFmtId="0" fontId="23" fillId="0" borderId="69" xfId="0" applyFont="1" applyBorder="1" applyAlignment="1">
      <alignment horizontal="left" vertic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1" xfId="0" applyFill="1" applyBorder="1" applyAlignment="1">
      <alignment horizontal="left"/>
    </xf>
    <xf numFmtId="0" fontId="0" fillId="0" borderId="52" xfId="0" applyFill="1" applyBorder="1" applyAlignment="1">
      <alignment horizontal="left"/>
    </xf>
    <xf numFmtId="0" fontId="0" fillId="0" borderId="55" xfId="0" applyFill="1" applyBorder="1" applyAlignment="1">
      <alignment horizontal="left"/>
    </xf>
    <xf numFmtId="0" fontId="0" fillId="0" borderId="56" xfId="0" applyFill="1" applyBorder="1" applyAlignment="1">
      <alignment horizontal="left"/>
    </xf>
    <xf numFmtId="0" fontId="0" fillId="0" borderId="59" xfId="0" applyFill="1" applyBorder="1" applyAlignment="1">
      <alignment horizontal="left"/>
    </xf>
    <xf numFmtId="0" fontId="0" fillId="0" borderId="60" xfId="0" applyFill="1" applyBorder="1" applyAlignment="1">
      <alignment horizontal="left"/>
    </xf>
    <xf numFmtId="0" fontId="0" fillId="0" borderId="66" xfId="0" applyFill="1" applyBorder="1" applyAlignment="1">
      <alignment horizontal="center"/>
    </xf>
    <xf numFmtId="0" fontId="0" fillId="0" borderId="67" xfId="0" applyFill="1" applyBorder="1" applyAlignment="1">
      <alignment horizontal="center"/>
    </xf>
    <xf numFmtId="0" fontId="29" fillId="17" borderId="84" xfId="0" applyFont="1" applyFill="1" applyBorder="1" applyAlignment="1">
      <alignment horizontal="center" vertical="center"/>
    </xf>
    <xf numFmtId="0" fontId="29" fillId="17" borderId="86" xfId="0" applyFont="1" applyFill="1" applyBorder="1" applyAlignment="1">
      <alignment horizontal="center" vertical="center"/>
    </xf>
    <xf numFmtId="0" fontId="29" fillId="17" borderId="89" xfId="0" applyFont="1" applyFill="1" applyBorder="1" applyAlignment="1">
      <alignment horizontal="center" vertical="center"/>
    </xf>
    <xf numFmtId="0" fontId="29" fillId="17" borderId="9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6" fillId="12" borderId="39" xfId="0" applyFont="1" applyFill="1" applyBorder="1" applyAlignment="1" applyProtection="1">
      <alignment horizontal="center" vertic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100" xfId="0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  <xf numFmtId="43" fontId="0" fillId="14" borderId="2" xfId="0" applyNumberFormat="1" applyFill="1" applyBorder="1" applyProtection="1">
      <protection locked="0"/>
    </xf>
    <xf numFmtId="2" fontId="0" fillId="14" borderId="2" xfId="0" applyNumberFormat="1" applyFill="1" applyBorder="1" applyProtection="1">
      <protection locked="0"/>
    </xf>
    <xf numFmtId="43" fontId="0" fillId="0" borderId="0" xfId="0" applyNumberFormat="1" applyFill="1"/>
    <xf numFmtId="43" fontId="0" fillId="0" borderId="0" xfId="0" applyNumberFormat="1" applyFill="1" applyProtection="1"/>
    <xf numFmtId="0" fontId="38" fillId="0" borderId="0" xfId="0" applyFont="1" applyFill="1" applyProtection="1"/>
    <xf numFmtId="167" fontId="38" fillId="0" borderId="0" xfId="0" applyNumberFormat="1" applyFont="1" applyFill="1" applyProtection="1"/>
    <xf numFmtId="167" fontId="0" fillId="21" borderId="17" xfId="24" applyFont="1" applyFill="1" applyBorder="1" applyAlignment="1" applyProtection="1">
      <alignment horizontal="center"/>
      <protection locked="0"/>
    </xf>
    <xf numFmtId="167" fontId="19" fillId="21" borderId="17" xfId="24" applyFill="1" applyBorder="1" applyAlignment="1" applyProtection="1">
      <alignment horizontal="center"/>
      <protection locked="0"/>
    </xf>
    <xf numFmtId="167" fontId="19" fillId="21" borderId="17" xfId="24" applyFill="1" applyBorder="1" applyAlignment="1" applyProtection="1">
      <protection locked="0"/>
    </xf>
    <xf numFmtId="167" fontId="19" fillId="21" borderId="0" xfId="24" applyFill="1" applyProtection="1"/>
    <xf numFmtId="167" fontId="0" fillId="21" borderId="19" xfId="24" applyFont="1" applyFill="1" applyBorder="1" applyAlignment="1" applyProtection="1">
      <alignment horizontal="center"/>
      <protection locked="0"/>
    </xf>
    <xf numFmtId="0" fontId="0" fillId="21" borderId="0" xfId="0" applyFill="1" applyProtection="1"/>
    <xf numFmtId="167" fontId="19" fillId="21" borderId="30" xfId="24" applyFill="1" applyBorder="1" applyAlignment="1" applyProtection="1">
      <protection locked="0"/>
    </xf>
    <xf numFmtId="167" fontId="19" fillId="21" borderId="30" xfId="24" applyFill="1" applyBorder="1" applyAlignment="1" applyProtection="1">
      <alignment horizontal="center"/>
      <protection locked="0"/>
    </xf>
    <xf numFmtId="167" fontId="0" fillId="21" borderId="17" xfId="24" applyFont="1" applyFill="1" applyBorder="1" applyAlignment="1" applyProtection="1">
      <alignment horizontal="center"/>
    </xf>
    <xf numFmtId="167" fontId="0" fillId="21" borderId="30" xfId="24" applyFont="1" applyFill="1" applyBorder="1" applyAlignment="1" applyProtection="1">
      <alignment horizontal="center"/>
    </xf>
    <xf numFmtId="167" fontId="0" fillId="21" borderId="19" xfId="24" applyFont="1" applyFill="1" applyBorder="1" applyAlignment="1" applyProtection="1">
      <alignment horizontal="center"/>
    </xf>
    <xf numFmtId="167" fontId="0" fillId="21" borderId="30" xfId="24" applyFont="1" applyFill="1" applyBorder="1" applyAlignment="1" applyProtection="1">
      <alignment horizontal="center"/>
      <protection locked="0"/>
    </xf>
    <xf numFmtId="167" fontId="32" fillId="21" borderId="17" xfId="24" applyFont="1" applyFill="1" applyBorder="1" applyAlignment="1" applyProtection="1">
      <alignment horizontal="center"/>
      <protection locked="0"/>
    </xf>
    <xf numFmtId="167" fontId="0" fillId="21" borderId="12" xfId="24" applyFont="1" applyFill="1" applyBorder="1" applyAlignment="1" applyProtection="1">
      <protection locked="0"/>
    </xf>
  </cellXfs>
  <cellStyles count="41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Error" xfId="11"/>
    <cellStyle name="Error 1" xfId="12"/>
    <cellStyle name="Footnote" xfId="13"/>
    <cellStyle name="Footnote 1" xfId="14"/>
    <cellStyle name="Good" xfId="15"/>
    <cellStyle name="Good 1" xfId="16"/>
    <cellStyle name="Heading" xfId="17"/>
    <cellStyle name="Heading 1" xfId="18"/>
    <cellStyle name="Heading 1 1" xfId="19"/>
    <cellStyle name="Heading 2" xfId="20"/>
    <cellStyle name="Heading 2 1" xfId="21"/>
    <cellStyle name="Heading 3" xfId="22"/>
    <cellStyle name="Hipervínculo" xfId="37" builtinId="8" hidden="1"/>
    <cellStyle name="Hipervínculo" xfId="39" builtinId="8" hidden="1"/>
    <cellStyle name="Hipervínculo visitado" xfId="38" builtinId="9" hidden="1"/>
    <cellStyle name="Hipervínculo visitado" xfId="40" builtinId="9" hidden="1"/>
    <cellStyle name="Millares" xfId="23" builtinId="3"/>
    <cellStyle name="Moneda" xfId="24" builtinId="4"/>
    <cellStyle name="Neutral 1" xfId="25"/>
    <cellStyle name="Normal" xfId="0" builtinId="0"/>
    <cellStyle name="Note" xfId="26"/>
    <cellStyle name="Note 1" xfId="27"/>
    <cellStyle name="Porcentaje" xfId="28" builtinId="5"/>
    <cellStyle name="Sin título1" xfId="29"/>
    <cellStyle name="Sin título2" xfId="30"/>
    <cellStyle name="Status" xfId="31"/>
    <cellStyle name="Status 1" xfId="32"/>
    <cellStyle name="Text" xfId="33"/>
    <cellStyle name="Text 1" xfId="34"/>
    <cellStyle name="Warning" xfId="35"/>
    <cellStyle name="Warning 1" xfId="36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Año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'E-Costos'!$C$139</c:f>
              <c:strCache>
                <c:ptCount val="1"/>
                <c:pt idx="0">
                  <c:v>cv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E90-4C14-80A4-91F939C01D2B}"/>
            </c:ext>
          </c:extLst>
        </c:ser>
        <c:ser>
          <c:idx val="1"/>
          <c:order val="1"/>
          <c:tx>
            <c:strRef>
              <c:f>'E-Costos'!$D$139</c:f>
              <c:strCache>
                <c:ptCount val="1"/>
                <c:pt idx="0">
                  <c:v>cf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E90-4C14-80A4-91F939C01D2B}"/>
            </c:ext>
          </c:extLst>
        </c:ser>
        <c:ser>
          <c:idx val="2"/>
          <c:order val="2"/>
          <c:tx>
            <c:strRef>
              <c:f>'E-Costos'!$E$139</c:f>
              <c:strCache>
                <c:ptCount val="1"/>
                <c:pt idx="0">
                  <c:v>ct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E90-4C14-80A4-91F939C01D2B}"/>
            </c:ext>
          </c:extLst>
        </c:ser>
        <c:ser>
          <c:idx val="3"/>
          <c:order val="3"/>
          <c:tx>
            <c:strRef>
              <c:f>'E-Costos'!$F$139</c:f>
              <c:strCache>
                <c:ptCount val="1"/>
                <c:pt idx="0">
                  <c:v>IxV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E90-4C14-80A4-91F939C01D2B}"/>
            </c:ext>
          </c:extLst>
        </c:ser>
        <c:ser>
          <c:idx val="5"/>
          <c:order val="4"/>
          <c:tx>
            <c:strRef>
              <c:f>'E-Costos'!$C$139</c:f>
              <c:strCache>
                <c:ptCount val="1"/>
                <c:pt idx="0">
                  <c:v>cv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'E-Costos'!$B$140:$B$141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'E-Costos'!$C$140:$C$141</c:f>
              <c:numCache>
                <c:formatCode>_(\$* #,##0.00_);_(\$* \(#,##0.00\);_(\$* \-??_);_(@_)</c:formatCode>
                <c:ptCount val="2"/>
                <c:pt idx="0" formatCode="General">
                  <c:v>0</c:v>
                </c:pt>
                <c:pt idx="1">
                  <c:v>22514338.646636281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E90-4C14-80A4-91F939C01D2B}"/>
            </c:ext>
          </c:extLst>
        </c:ser>
        <c:ser>
          <c:idx val="6"/>
          <c:order val="5"/>
          <c:tx>
            <c:strRef>
              <c:f>'E-Costos'!$D$139</c:f>
              <c:strCache>
                <c:ptCount val="1"/>
                <c:pt idx="0">
                  <c:v>cf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'E-Costos'!$B$140:$B$141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'E-Costos'!$D$140:$D$141</c:f>
              <c:numCache>
                <c:formatCode>_(\$* #,##0.00_);_(\$* \(#,##0.00\);_(\$* \-??_);_(@_)</c:formatCode>
                <c:ptCount val="2"/>
                <c:pt idx="0">
                  <c:v>17057794.858581755</c:v>
                </c:pt>
                <c:pt idx="1">
                  <c:v>17057794.858581755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E90-4C14-80A4-91F939C01D2B}"/>
            </c:ext>
          </c:extLst>
        </c:ser>
        <c:ser>
          <c:idx val="7"/>
          <c:order val="6"/>
          <c:tx>
            <c:strRef>
              <c:f>'E-Costos'!$E$139</c:f>
              <c:strCache>
                <c:ptCount val="1"/>
                <c:pt idx="0">
                  <c:v>ct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'E-Costos'!$B$140:$B$141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'E-Costos'!$E$140:$E$141</c:f>
              <c:numCache>
                <c:formatCode>_(\$* #,##0.00_);_(\$* \(#,##0.00\);_(\$* \-??_);_(@_)</c:formatCode>
                <c:ptCount val="2"/>
                <c:pt idx="0">
                  <c:v>17057794.858581755</c:v>
                </c:pt>
                <c:pt idx="1">
                  <c:v>39572133.505218036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E90-4C14-80A4-91F939C01D2B}"/>
            </c:ext>
          </c:extLst>
        </c:ser>
        <c:ser>
          <c:idx val="4"/>
          <c:order val="7"/>
          <c:tx>
            <c:strRef>
              <c:f>'E-Costos'!$F$139</c:f>
              <c:strCache>
                <c:ptCount val="1"/>
                <c:pt idx="0">
                  <c:v>IxV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'E-Costos'!$B$140:$B$141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'E-Costos'!$F$140:$F$141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51285645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DE90-4C14-80A4-91F939C01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44288"/>
        <c:axId val="44450176"/>
      </c:scatterChart>
      <c:valAx>
        <c:axId val="44444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450176"/>
        <c:crosses val="autoZero"/>
        <c:crossBetween val="midCat"/>
      </c:valAx>
      <c:valAx>
        <c:axId val="4445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44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 sz="1400" b="0" i="0" u="none" strike="noStrike" baseline="0">
                <a:effectLst/>
              </a:rPr>
              <a:t>Año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strRef>
              <c:f>'E-Costos'!$J$139</c:f>
              <c:strCache>
                <c:ptCount val="1"/>
                <c:pt idx="0">
                  <c:v>cv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'E-Costos'!$I$140:$I$141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'E-Costos'!$J$140:$J$141</c:f>
              <c:numCache>
                <c:formatCode>_(\$* #,##0.00_);_(\$* \(#,##0.00\);_(\$* \-??_);_(@_)</c:formatCode>
                <c:ptCount val="2"/>
                <c:pt idx="0" formatCode="General">
                  <c:v>0</c:v>
                </c:pt>
                <c:pt idx="1">
                  <c:v>24941907.976011667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874-4914-A92F-D784B12F5517}"/>
            </c:ext>
          </c:extLst>
        </c:ser>
        <c:ser>
          <c:idx val="0"/>
          <c:order val="1"/>
          <c:tx>
            <c:strRef>
              <c:f>'E-Costos'!$K$139</c:f>
              <c:strCache>
                <c:ptCount val="1"/>
                <c:pt idx="0">
                  <c:v>cf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'E-Costos'!$I$140:$I$141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'E-Costos'!$K$140:$K$141</c:f>
              <c:numCache>
                <c:formatCode>_(\$* #,##0.00_);_(\$* \(#,##0.00\);_(\$* \-??_);_(@_)</c:formatCode>
                <c:ptCount val="2"/>
                <c:pt idx="0">
                  <c:v>17366139.922569003</c:v>
                </c:pt>
                <c:pt idx="1">
                  <c:v>17366139.922569003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874-4914-A92F-D784B12F5517}"/>
            </c:ext>
          </c:extLst>
        </c:ser>
        <c:ser>
          <c:idx val="1"/>
          <c:order val="2"/>
          <c:tx>
            <c:strRef>
              <c:f>'E-Costos'!$L$139</c:f>
              <c:strCache>
                <c:ptCount val="1"/>
                <c:pt idx="0">
                  <c:v>ct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'E-Costos'!$I$140:$I$141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'E-Costos'!$L$140:$L$141</c:f>
              <c:numCache>
                <c:formatCode>_(\$* #,##0.00_);_(\$* \(#,##0.00\);_(\$* \-??_);_(@_)</c:formatCode>
                <c:ptCount val="2"/>
                <c:pt idx="0">
                  <c:v>17366139.922569003</c:v>
                </c:pt>
                <c:pt idx="1">
                  <c:v>42308047.89858067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874-4914-A92F-D784B12F5517}"/>
            </c:ext>
          </c:extLst>
        </c:ser>
        <c:ser>
          <c:idx val="2"/>
          <c:order val="3"/>
          <c:tx>
            <c:strRef>
              <c:f>'E-Costos'!$M$139</c:f>
              <c:strCache>
                <c:ptCount val="1"/>
                <c:pt idx="0">
                  <c:v>IxV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'E-Costos'!$I$140:$I$141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'E-Costos'!$M$140:$M$141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63000000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874-4914-A92F-D784B12F5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991680"/>
        <c:axId val="135993216"/>
      </c:scatterChart>
      <c:valAx>
        <c:axId val="135991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993216"/>
        <c:crosses val="autoZero"/>
        <c:crossBetween val="midCat"/>
      </c:valAx>
      <c:valAx>
        <c:axId val="13599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991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541940</xdr:colOff>
      <xdr:row>143</xdr:row>
      <xdr:rowOff>98534</xdr:rowOff>
    </xdr:from>
    <xdr:to>
      <xdr:col>5</xdr:col>
      <xdr:colOff>718900</xdr:colOff>
      <xdr:row>171</xdr:row>
      <xdr:rowOff>129510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63FDFD0-0089-417F-AB3D-4A456B5D2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954084</xdr:colOff>
      <xdr:row>143</xdr:row>
      <xdr:rowOff>119702</xdr:rowOff>
    </xdr:from>
    <xdr:to>
      <xdr:col>14</xdr:col>
      <xdr:colOff>329405</xdr:colOff>
      <xdr:row>171</xdr:row>
      <xdr:rowOff>108343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2F51885-23B2-4A69-B542-54C9AE3A6D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740629</xdr:colOff>
      <xdr:row>52</xdr:row>
      <xdr:rowOff>11206</xdr:rowOff>
    </xdr:from>
    <xdr:to>
      <xdr:col>21</xdr:col>
      <xdr:colOff>960904</xdr:colOff>
      <xdr:row>64</xdr:row>
      <xdr:rowOff>67234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8585128-0465-4C62-8BCD-D1939AA38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4982" y="8650941"/>
          <a:ext cx="5206893" cy="1938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750794</xdr:colOff>
      <xdr:row>67</xdr:row>
      <xdr:rowOff>89646</xdr:rowOff>
    </xdr:from>
    <xdr:to>
      <xdr:col>21</xdr:col>
      <xdr:colOff>895680</xdr:colOff>
      <xdr:row>73</xdr:row>
      <xdr:rowOff>134470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3E1DAE10-06F9-48B6-9CE0-74D44A1F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5147" y="11082617"/>
          <a:ext cx="5131504" cy="986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549088</xdr:colOff>
      <xdr:row>74</xdr:row>
      <xdr:rowOff>145676</xdr:rowOff>
    </xdr:from>
    <xdr:to>
      <xdr:col>23</xdr:col>
      <xdr:colOff>369233</xdr:colOff>
      <xdr:row>78</xdr:row>
      <xdr:rowOff>77881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7D336EB2-4052-42DF-9534-011C31519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3441" y="12236823"/>
          <a:ext cx="6801410" cy="559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5</xdr:row>
      <xdr:rowOff>104775</xdr:rowOff>
    </xdr:from>
    <xdr:to>
      <xdr:col>2</xdr:col>
      <xdr:colOff>914400</xdr:colOff>
      <xdr:row>18</xdr:row>
      <xdr:rowOff>138613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84A91A-8B23-4012-B190-5FD7D47C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14400"/>
          <a:ext cx="2962275" cy="2138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5"/>
  <sheetViews>
    <sheetView zoomScaleNormal="100" workbookViewId="0">
      <selection activeCell="B36" sqref="B36:D36"/>
    </sheetView>
  </sheetViews>
  <sheetFormatPr baseColWidth="10" defaultColWidth="11" defaultRowHeight="12.5" x14ac:dyDescent="0.25"/>
  <cols>
    <col min="1" max="1" width="42.1796875" customWidth="1"/>
    <col min="2" max="3" width="11" customWidth="1"/>
    <col min="4" max="4" width="17.26953125" customWidth="1"/>
    <col min="5" max="5" width="11" customWidth="1"/>
    <col min="6" max="6" width="6.81640625" customWidth="1"/>
    <col min="7" max="12" width="11" customWidth="1"/>
    <col min="13" max="13" width="17" customWidth="1"/>
  </cols>
  <sheetData>
    <row r="1" spans="1:13" ht="13" x14ac:dyDescent="0.3">
      <c r="A1" s="1" t="s">
        <v>0</v>
      </c>
      <c r="E1" s="2">
        <v>2</v>
      </c>
    </row>
    <row r="2" spans="1:13" ht="14" x14ac:dyDescent="0.3">
      <c r="G2" s="497" t="s">
        <v>1</v>
      </c>
      <c r="H2" s="497"/>
      <c r="I2" s="497"/>
      <c r="J2" s="497"/>
      <c r="K2" s="497"/>
      <c r="L2" s="497"/>
      <c r="M2" s="497"/>
    </row>
    <row r="3" spans="1:13" ht="14.9" customHeight="1" x14ac:dyDescent="0.3">
      <c r="A3" s="3" t="s">
        <v>2</v>
      </c>
      <c r="B3" s="4">
        <v>0.21</v>
      </c>
      <c r="G3" s="498" t="s">
        <v>3</v>
      </c>
      <c r="H3" s="498"/>
      <c r="I3" s="498"/>
      <c r="J3" s="498"/>
      <c r="K3" s="498"/>
      <c r="L3" s="498"/>
      <c r="M3" s="498"/>
    </row>
    <row r="4" spans="1:13" ht="13" x14ac:dyDescent="0.3">
      <c r="A4" s="3" t="s">
        <v>4</v>
      </c>
      <c r="B4" s="4">
        <v>0.35</v>
      </c>
      <c r="G4" s="498"/>
      <c r="H4" s="498"/>
      <c r="I4" s="498"/>
      <c r="J4" s="498"/>
      <c r="K4" s="498"/>
      <c r="L4" s="498"/>
      <c r="M4" s="498"/>
    </row>
    <row r="5" spans="1:13" ht="13" x14ac:dyDescent="0.3">
      <c r="A5" s="3" t="s">
        <v>5</v>
      </c>
      <c r="B5" s="4">
        <v>0.09</v>
      </c>
      <c r="C5" t="s">
        <v>6</v>
      </c>
      <c r="G5" s="498"/>
      <c r="H5" s="498"/>
      <c r="I5" s="498"/>
      <c r="J5" s="498"/>
      <c r="K5" s="498"/>
      <c r="L5" s="498"/>
      <c r="M5" s="498"/>
    </row>
    <row r="6" spans="1:13" x14ac:dyDescent="0.25">
      <c r="G6" s="498"/>
      <c r="H6" s="498"/>
      <c r="I6" s="498"/>
      <c r="J6" s="498"/>
      <c r="K6" s="498"/>
      <c r="L6" s="498"/>
      <c r="M6" s="498"/>
    </row>
    <row r="7" spans="1:13" ht="14.9" customHeight="1" x14ac:dyDescent="0.3">
      <c r="A7" s="3" t="s">
        <v>7</v>
      </c>
      <c r="B7" t="s">
        <v>8</v>
      </c>
      <c r="G7" s="499" t="s">
        <v>9</v>
      </c>
      <c r="H7" s="499"/>
      <c r="I7" s="499"/>
      <c r="J7" s="499"/>
      <c r="K7" s="499"/>
      <c r="L7" s="499"/>
      <c r="M7" s="499"/>
    </row>
    <row r="8" spans="1:13" ht="13" x14ac:dyDescent="0.3">
      <c r="A8" s="5" t="s">
        <v>10</v>
      </c>
      <c r="B8" s="6">
        <v>30</v>
      </c>
      <c r="C8" t="s">
        <v>11</v>
      </c>
      <c r="G8" s="499"/>
      <c r="H8" s="499"/>
      <c r="I8" s="499"/>
      <c r="J8" s="499"/>
      <c r="K8" s="499"/>
      <c r="L8" s="499"/>
      <c r="M8" s="499"/>
    </row>
    <row r="9" spans="1:13" ht="13" x14ac:dyDescent="0.3">
      <c r="A9" s="5" t="s">
        <v>12</v>
      </c>
      <c r="B9" s="6">
        <v>10</v>
      </c>
      <c r="C9" t="s">
        <v>11</v>
      </c>
      <c r="G9" s="500" t="s">
        <v>13</v>
      </c>
      <c r="H9" s="500"/>
      <c r="I9" s="500"/>
      <c r="J9" s="500"/>
      <c r="K9" s="500"/>
      <c r="L9" s="500"/>
      <c r="M9" s="500"/>
    </row>
    <row r="10" spans="1:13" ht="14.9" customHeight="1" x14ac:dyDescent="0.3">
      <c r="A10" s="5" t="s">
        <v>14</v>
      </c>
      <c r="B10" s="6">
        <v>10</v>
      </c>
      <c r="C10" t="s">
        <v>11</v>
      </c>
      <c r="G10" s="501" t="s">
        <v>15</v>
      </c>
      <c r="H10" s="501"/>
      <c r="I10" s="501"/>
      <c r="J10" s="501"/>
      <c r="K10" s="501"/>
      <c r="L10" s="501"/>
      <c r="M10" s="501"/>
    </row>
    <row r="11" spans="1:13" ht="13" x14ac:dyDescent="0.3">
      <c r="A11" s="5" t="s">
        <v>16</v>
      </c>
      <c r="B11" s="6">
        <v>5</v>
      </c>
      <c r="C11" t="s">
        <v>11</v>
      </c>
      <c r="G11" s="501"/>
      <c r="H11" s="501"/>
      <c r="I11" s="501"/>
      <c r="J11" s="501"/>
      <c r="K11" s="501"/>
      <c r="L11" s="501"/>
      <c r="M11" s="501"/>
    </row>
    <row r="12" spans="1:13" ht="14.9" customHeight="1" x14ac:dyDescent="0.3">
      <c r="A12" s="5" t="s">
        <v>17</v>
      </c>
      <c r="B12" s="6">
        <v>5</v>
      </c>
      <c r="C12" t="s">
        <v>11</v>
      </c>
      <c r="G12" s="501" t="s">
        <v>18</v>
      </c>
      <c r="H12" s="501"/>
      <c r="I12" s="501"/>
      <c r="J12" s="501"/>
      <c r="K12" s="501"/>
      <c r="L12" s="501"/>
      <c r="M12" s="501"/>
    </row>
    <row r="13" spans="1:13" ht="13" x14ac:dyDescent="0.3">
      <c r="A13" s="5" t="s">
        <v>19</v>
      </c>
      <c r="B13" s="6">
        <v>3</v>
      </c>
      <c r="C13" t="s">
        <v>11</v>
      </c>
      <c r="G13" s="501"/>
      <c r="H13" s="501"/>
      <c r="I13" s="501"/>
      <c r="J13" s="501"/>
      <c r="K13" s="501"/>
      <c r="L13" s="501"/>
      <c r="M13" s="501"/>
    </row>
    <row r="14" spans="1:13" ht="13" x14ac:dyDescent="0.3">
      <c r="A14" s="5" t="s">
        <v>20</v>
      </c>
      <c r="B14" s="6">
        <v>5</v>
      </c>
      <c r="C14" t="s">
        <v>11</v>
      </c>
    </row>
    <row r="15" spans="1:13" ht="13" x14ac:dyDescent="0.3">
      <c r="A15" s="5" t="s">
        <v>21</v>
      </c>
      <c r="B15" s="7">
        <v>0.04</v>
      </c>
    </row>
    <row r="17" spans="1:12" ht="13" x14ac:dyDescent="0.3">
      <c r="A17" s="3" t="s">
        <v>22</v>
      </c>
      <c r="B17" s="8" t="s">
        <v>568</v>
      </c>
      <c r="C17" s="9"/>
      <c r="D17" s="9"/>
      <c r="E17" s="9"/>
      <c r="F17" s="9"/>
      <c r="G17" s="10"/>
    </row>
    <row r="19" spans="1:12" ht="13" x14ac:dyDescent="0.3">
      <c r="A19" s="3" t="s">
        <v>23</v>
      </c>
      <c r="B19" s="11">
        <v>42000</v>
      </c>
      <c r="C19" t="s">
        <v>24</v>
      </c>
    </row>
    <row r="20" spans="1:12" ht="13" x14ac:dyDescent="0.3">
      <c r="A20" s="3" t="s">
        <v>25</v>
      </c>
      <c r="B20" s="11">
        <v>850</v>
      </c>
      <c r="C20" t="s">
        <v>26</v>
      </c>
    </row>
    <row r="21" spans="1:12" x14ac:dyDescent="0.25">
      <c r="L21" s="272"/>
    </row>
    <row r="22" spans="1:12" ht="13" x14ac:dyDescent="0.3">
      <c r="A22" s="3" t="s">
        <v>27</v>
      </c>
    </row>
    <row r="23" spans="1:12" ht="13" x14ac:dyDescent="0.3">
      <c r="A23" s="3" t="s">
        <v>28</v>
      </c>
      <c r="B23" s="11">
        <v>25</v>
      </c>
      <c r="C23" t="s">
        <v>29</v>
      </c>
    </row>
    <row r="24" spans="1:12" ht="13" x14ac:dyDescent="0.3">
      <c r="A24" s="3" t="s">
        <v>30</v>
      </c>
      <c r="B24" s="11">
        <v>8</v>
      </c>
      <c r="C24" t="s">
        <v>29</v>
      </c>
    </row>
    <row r="25" spans="1:12" ht="13" x14ac:dyDescent="0.3">
      <c r="A25" s="3" t="s">
        <v>31</v>
      </c>
      <c r="B25" s="11">
        <v>7</v>
      </c>
      <c r="C25" t="s">
        <v>29</v>
      </c>
    </row>
    <row r="27" spans="1:12" ht="13" x14ac:dyDescent="0.3">
      <c r="A27" s="3" t="s">
        <v>32</v>
      </c>
      <c r="B27" s="11">
        <v>2300</v>
      </c>
      <c r="C27" t="s">
        <v>33</v>
      </c>
    </row>
    <row r="28" spans="1:12" ht="13" x14ac:dyDescent="0.3">
      <c r="A28" s="3" t="s">
        <v>34</v>
      </c>
      <c r="B28" s="11">
        <v>6</v>
      </c>
      <c r="C28" t="s">
        <v>35</v>
      </c>
    </row>
    <row r="29" spans="1:12" ht="13" x14ac:dyDescent="0.3">
      <c r="A29" s="3" t="s">
        <v>36</v>
      </c>
      <c r="B29" s="11">
        <v>4</v>
      </c>
      <c r="C29" t="s">
        <v>35</v>
      </c>
    </row>
    <row r="30" spans="1:12" ht="13" x14ac:dyDescent="0.3">
      <c r="A30" s="297" t="s">
        <v>569</v>
      </c>
      <c r="B30" s="292">
        <v>400</v>
      </c>
    </row>
    <row r="32" spans="1:12" ht="13" x14ac:dyDescent="0.3">
      <c r="A32" s="3" t="s">
        <v>37</v>
      </c>
      <c r="B32" s="11">
        <v>39.799999999999997</v>
      </c>
      <c r="C32" t="s">
        <v>38</v>
      </c>
      <c r="D32" s="11">
        <v>1</v>
      </c>
      <c r="E32" t="s">
        <v>39</v>
      </c>
    </row>
    <row r="33" spans="1:7" ht="13" x14ac:dyDescent="0.3">
      <c r="A33" s="12"/>
    </row>
    <row r="34" spans="1:7" ht="13" x14ac:dyDescent="0.3">
      <c r="A34" s="12"/>
    </row>
    <row r="35" spans="1:7" ht="13" x14ac:dyDescent="0.3">
      <c r="A35" s="3" t="s">
        <v>40</v>
      </c>
      <c r="B35" s="419">
        <v>0.28999999999999998</v>
      </c>
      <c r="C35" t="s">
        <v>41</v>
      </c>
      <c r="G35" s="13" t="s">
        <v>42</v>
      </c>
    </row>
    <row r="36" spans="1:7" ht="13" x14ac:dyDescent="0.3">
      <c r="A36" s="3" t="s">
        <v>43</v>
      </c>
      <c r="B36" s="496">
        <f>'E-Inv AF y Am'!B7</f>
        <v>36616000</v>
      </c>
      <c r="C36" s="496"/>
      <c r="D36" s="496"/>
    </row>
    <row r="37" spans="1:7" ht="13" x14ac:dyDescent="0.3">
      <c r="A37" s="3" t="s">
        <v>44</v>
      </c>
      <c r="B37" s="14"/>
    </row>
    <row r="38" spans="1:7" ht="13" x14ac:dyDescent="0.3">
      <c r="A38" s="3"/>
    </row>
    <row r="39" spans="1:7" ht="13" x14ac:dyDescent="0.3">
      <c r="A39" s="3" t="s">
        <v>45</v>
      </c>
      <c r="B39" s="11">
        <v>180</v>
      </c>
    </row>
    <row r="40" spans="1:7" ht="13" x14ac:dyDescent="0.3">
      <c r="A40" s="3" t="s">
        <v>46</v>
      </c>
      <c r="B40" s="425">
        <v>0.5</v>
      </c>
    </row>
    <row r="41" spans="1:7" ht="13" x14ac:dyDescent="0.3">
      <c r="A41" s="3" t="s">
        <v>47</v>
      </c>
      <c r="B41" s="425">
        <v>0.2</v>
      </c>
      <c r="C41" t="s">
        <v>41</v>
      </c>
      <c r="D41" t="s">
        <v>633</v>
      </c>
    </row>
    <row r="505" spans="7:7" x14ac:dyDescent="0.25">
      <c r="G505" s="13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opLeftCell="D10" zoomScale="90" zoomScaleNormal="90" workbookViewId="0">
      <selection activeCell="G40" sqref="G40"/>
    </sheetView>
  </sheetViews>
  <sheetFormatPr baseColWidth="10" defaultColWidth="11.26953125" defaultRowHeight="12.5" x14ac:dyDescent="0.25"/>
  <cols>
    <col min="1" max="1" width="7.81640625" style="15" customWidth="1"/>
    <col min="2" max="2" width="17.81640625" style="15" bestFit="1" customWidth="1"/>
    <col min="3" max="3" width="23.1796875" style="15" customWidth="1"/>
    <col min="4" max="4" width="16.7265625" style="15" bestFit="1" customWidth="1"/>
    <col min="5" max="5" width="15.453125" style="15" bestFit="1" customWidth="1"/>
    <col min="6" max="6" width="16.7265625" style="15" bestFit="1" customWidth="1"/>
    <col min="7" max="7" width="17.81640625" style="15" bestFit="1" customWidth="1"/>
    <col min="8" max="8" width="16.7265625" style="15" bestFit="1" customWidth="1"/>
    <col min="9" max="9" width="14.7265625" style="15" customWidth="1"/>
    <col min="10" max="10" width="16" style="15" bestFit="1" customWidth="1"/>
    <col min="11" max="11" width="16.7265625" style="15" bestFit="1" customWidth="1"/>
    <col min="12" max="13" width="17.1796875" style="15" bestFit="1" customWidth="1"/>
    <col min="14" max="14" width="17.26953125" style="15" customWidth="1"/>
    <col min="15" max="16384" width="11.26953125" style="15"/>
  </cols>
  <sheetData>
    <row r="1" spans="1:13" ht="13" x14ac:dyDescent="0.3">
      <c r="A1" s="1" t="s">
        <v>0</v>
      </c>
      <c r="B1"/>
      <c r="C1"/>
      <c r="D1"/>
      <c r="G1" s="15">
        <f>InfoInicial!E1</f>
        <v>2</v>
      </c>
      <c r="H1" s="2"/>
    </row>
    <row r="2" spans="1:13" ht="15.5" x14ac:dyDescent="0.35">
      <c r="A2" s="114" t="s">
        <v>237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39" x14ac:dyDescent="0.3">
      <c r="A3" s="118" t="s">
        <v>238</v>
      </c>
      <c r="B3" s="107" t="s">
        <v>239</v>
      </c>
      <c r="C3" s="107" t="s">
        <v>240</v>
      </c>
      <c r="D3" s="107" t="s">
        <v>241</v>
      </c>
      <c r="E3" s="107" t="s">
        <v>5</v>
      </c>
      <c r="F3" s="107" t="s">
        <v>242</v>
      </c>
      <c r="G3" s="107" t="s">
        <v>243</v>
      </c>
      <c r="H3" s="107" t="s">
        <v>244</v>
      </c>
      <c r="I3" s="107" t="s">
        <v>102</v>
      </c>
      <c r="J3" s="107" t="s">
        <v>245</v>
      </c>
      <c r="K3" s="107" t="s">
        <v>246</v>
      </c>
      <c r="L3" s="128" t="s">
        <v>247</v>
      </c>
      <c r="M3" s="129" t="s">
        <v>248</v>
      </c>
    </row>
    <row r="4" spans="1:13" ht="13" x14ac:dyDescent="0.3">
      <c r="A4" s="130">
        <v>0</v>
      </c>
      <c r="B4" s="308">
        <f>'E-Inv AF y Am'!B33+'E-Inv AF y Am'!D33</f>
        <v>54256592</v>
      </c>
      <c r="C4" s="309">
        <f>'E-InvAT'!B25</f>
        <v>1537274.2996</v>
      </c>
      <c r="D4" s="309">
        <f>'E-IVA '!B26</f>
        <v>11716711.922916001</v>
      </c>
      <c r="E4" s="309">
        <f t="shared" ref="E4:E9" si="0">H4*0.05</f>
        <v>0</v>
      </c>
      <c r="F4" s="309">
        <f t="shared" ref="F4:F9" si="1">(H4-E4)*0.35</f>
        <v>0</v>
      </c>
      <c r="G4" s="309">
        <f t="shared" ref="G4:G9" si="2">SUM(B4:F4)</f>
        <v>67510578.222516</v>
      </c>
      <c r="H4" s="229">
        <v>0</v>
      </c>
      <c r="I4" s="309">
        <v>0</v>
      </c>
      <c r="J4" s="309">
        <v>0</v>
      </c>
      <c r="K4" s="309">
        <f t="shared" ref="K4:K9" si="3">SUM(H4:J4)</f>
        <v>0</v>
      </c>
      <c r="L4" s="310">
        <f t="shared" ref="L4:L9" si="4">K4-G4</f>
        <v>-67510578.222516</v>
      </c>
      <c r="M4" s="311">
        <f>L4</f>
        <v>-67510578.222516</v>
      </c>
    </row>
    <row r="5" spans="1:13" ht="13" x14ac:dyDescent="0.3">
      <c r="A5" s="132">
        <v>1</v>
      </c>
      <c r="B5" s="312">
        <f>'E-Inv AF y Am'!C33</f>
        <v>150000</v>
      </c>
      <c r="C5" s="230">
        <f>'E-InvAT'!C25</f>
        <v>17266353.66694599</v>
      </c>
      <c r="D5" s="230">
        <f>'E-IVA '!C26</f>
        <v>3817940.166766813</v>
      </c>
      <c r="E5" s="309">
        <f t="shared" si="0"/>
        <v>338453.30477607378</v>
      </c>
      <c r="F5" s="309">
        <f t="shared" si="1"/>
        <v>2250714.4767608903</v>
      </c>
      <c r="G5" s="309">
        <f t="shared" si="2"/>
        <v>23823461.615249764</v>
      </c>
      <c r="H5" s="309">
        <f>'E-Costos'!B120</f>
        <v>6769066.0955214752</v>
      </c>
      <c r="I5" s="230">
        <f>'E-Inv AF y Am'!$D$56</f>
        <v>1982406.4</v>
      </c>
      <c r="J5" s="230">
        <f>'E-IVA '!C28</f>
        <v>7277712.5940342741</v>
      </c>
      <c r="K5" s="309">
        <f t="shared" si="3"/>
        <v>16029185.089555748</v>
      </c>
      <c r="L5" s="310">
        <f t="shared" si="4"/>
        <v>-7794276.5256940164</v>
      </c>
      <c r="M5" s="265">
        <f>L5+M4</f>
        <v>-75304854.748210013</v>
      </c>
    </row>
    <row r="6" spans="1:13" ht="13" x14ac:dyDescent="0.3">
      <c r="A6" s="132">
        <v>2</v>
      </c>
      <c r="B6" s="312">
        <v>0</v>
      </c>
      <c r="C6" s="309">
        <f>'E-InvAT'!D25</f>
        <v>3188487.9866557047</v>
      </c>
      <c r="D6" s="230">
        <f>'E-IVA '!D26</f>
        <v>751216.81522072363</v>
      </c>
      <c r="E6" s="309">
        <f t="shared" si="0"/>
        <v>577318.27094386041</v>
      </c>
      <c r="F6" s="309">
        <f t="shared" si="1"/>
        <v>3839166.501776671</v>
      </c>
      <c r="G6" s="309">
        <f t="shared" si="2"/>
        <v>8356189.5745969601</v>
      </c>
      <c r="H6" s="309">
        <f>'E-Costos'!C120</f>
        <v>11546365.418877207</v>
      </c>
      <c r="I6" s="230">
        <f>'E-Inv AF y Am'!$D$56</f>
        <v>1982406.4</v>
      </c>
      <c r="J6" s="230">
        <f>'E-IVA '!D28</f>
        <v>9008156.3108692635</v>
      </c>
      <c r="K6" s="309">
        <f t="shared" si="3"/>
        <v>22536928.129746471</v>
      </c>
      <c r="L6" s="310">
        <f t="shared" si="4"/>
        <v>14180738.555149511</v>
      </c>
      <c r="M6" s="265">
        <f>L6+M5</f>
        <v>-61124116.193060502</v>
      </c>
    </row>
    <row r="7" spans="1:13" ht="13" x14ac:dyDescent="0.3">
      <c r="A7" s="132">
        <v>3</v>
      </c>
      <c r="B7" s="312">
        <v>0</v>
      </c>
      <c r="C7" s="230">
        <f>'E-InvAT'!E25</f>
        <v>-203.5023882612586</v>
      </c>
      <c r="D7" s="230">
        <f>'E-IVA '!E26</f>
        <v>6.5722609858700887</v>
      </c>
      <c r="E7" s="309">
        <f t="shared" si="0"/>
        <v>577919.53514120623</v>
      </c>
      <c r="F7" s="309">
        <f t="shared" si="1"/>
        <v>3843164.9086890216</v>
      </c>
      <c r="G7" s="309">
        <f t="shared" si="2"/>
        <v>4420887.5137029523</v>
      </c>
      <c r="H7" s="309">
        <f>'E-Costos'!D120</f>
        <v>11558390.702824125</v>
      </c>
      <c r="I7" s="230">
        <f>'E-Inv AF y Am'!$D$56</f>
        <v>1982406.4</v>
      </c>
      <c r="J7" s="230">
        <f>'E-IVA '!E28</f>
        <v>6.5722609858700887</v>
      </c>
      <c r="K7" s="309">
        <f t="shared" si="3"/>
        <v>13540803.675085111</v>
      </c>
      <c r="L7" s="310">
        <f t="shared" si="4"/>
        <v>9119916.1613821574</v>
      </c>
      <c r="M7" s="265">
        <f>L7+M6</f>
        <v>-52004200.031678349</v>
      </c>
    </row>
    <row r="8" spans="1:13" ht="13" x14ac:dyDescent="0.3">
      <c r="A8" s="132">
        <v>4</v>
      </c>
      <c r="B8" s="312">
        <v>0</v>
      </c>
      <c r="C8" s="309">
        <f>'E-InvAT'!F25</f>
        <v>-2210.4698045477271</v>
      </c>
      <c r="D8" s="230">
        <f>'E-IVA '!F26</f>
        <v>-158.2346528607988</v>
      </c>
      <c r="E8" s="309">
        <f t="shared" si="0"/>
        <v>579373.3117340263</v>
      </c>
      <c r="F8" s="309">
        <f t="shared" si="1"/>
        <v>3852832.5230312748</v>
      </c>
      <c r="G8" s="309">
        <f t="shared" si="2"/>
        <v>4429837.1303078923</v>
      </c>
      <c r="H8" s="309">
        <f>'E-Costos'!E120</f>
        <v>11587466.234680526</v>
      </c>
      <c r="I8" s="230">
        <f>'E-Inv AF y Am'!$E$56</f>
        <v>1932406.4</v>
      </c>
      <c r="J8" s="230">
        <f>'E-IVA '!F28</f>
        <v>-158.2346528607988</v>
      </c>
      <c r="K8" s="309">
        <f t="shared" si="3"/>
        <v>13519714.400027666</v>
      </c>
      <c r="L8" s="310">
        <f t="shared" si="4"/>
        <v>9089877.2697197739</v>
      </c>
      <c r="M8" s="265">
        <f>L8+M7</f>
        <v>-42914322.761958577</v>
      </c>
    </row>
    <row r="9" spans="1:13" ht="13" x14ac:dyDescent="0.3">
      <c r="A9" s="132">
        <v>5</v>
      </c>
      <c r="B9" s="312">
        <f>-'E-Inv AF y Am'!G56</f>
        <v>-44594560</v>
      </c>
      <c r="C9" s="230">
        <f>-('E-InvAT'!G22-'E-InvAT'!G25)</f>
        <v>-21989701.981008887</v>
      </c>
      <c r="D9" s="230">
        <f>'E-IVA '!G26</f>
        <v>0.62956886081316044</v>
      </c>
      <c r="E9" s="309">
        <f t="shared" si="0"/>
        <v>579374.74278225633</v>
      </c>
      <c r="F9" s="309">
        <f t="shared" si="1"/>
        <v>3852842.0395020042</v>
      </c>
      <c r="G9" s="309">
        <f t="shared" si="2"/>
        <v>-62152044.569155768</v>
      </c>
      <c r="H9" s="309">
        <f>'E-Costos'!F120</f>
        <v>11587494.855645126</v>
      </c>
      <c r="I9" s="230">
        <f>'E-Inv AF y Am'!$E$56</f>
        <v>1932406.4</v>
      </c>
      <c r="J9" s="230">
        <f>'E-IVA '!G28</f>
        <v>0.62956886081316044</v>
      </c>
      <c r="K9" s="309">
        <f t="shared" si="3"/>
        <v>13519901.885213986</v>
      </c>
      <c r="L9" s="310">
        <f t="shared" si="4"/>
        <v>75671946.454369754</v>
      </c>
      <c r="M9" s="265">
        <f>L9+M8</f>
        <v>32757623.692411177</v>
      </c>
    </row>
    <row r="10" spans="1:13" ht="13" x14ac:dyDescent="0.3">
      <c r="A10" s="132"/>
      <c r="B10" s="124"/>
      <c r="C10" s="85"/>
      <c r="D10" s="85"/>
      <c r="E10" s="85"/>
      <c r="F10" s="85"/>
      <c r="G10" s="85"/>
      <c r="H10" s="85"/>
      <c r="I10" s="85"/>
      <c r="J10" s="85"/>
      <c r="K10" s="85"/>
      <c r="L10" s="112"/>
      <c r="M10" s="86"/>
    </row>
    <row r="11" spans="1:13" ht="13" x14ac:dyDescent="0.3">
      <c r="A11" s="133" t="s">
        <v>249</v>
      </c>
      <c r="B11" s="127">
        <f>SUM(B4:B9)</f>
        <v>9812032</v>
      </c>
      <c r="C11" s="127">
        <f t="shared" ref="C11:K11" si="5">SUM(C4:C9)</f>
        <v>0</v>
      </c>
      <c r="D11" s="127">
        <f>SUM(D4:D9)</f>
        <v>16285717.872080522</v>
      </c>
      <c r="E11" s="127">
        <f t="shared" si="5"/>
        <v>2652439.1653774232</v>
      </c>
      <c r="F11" s="127">
        <f t="shared" si="5"/>
        <v>17638720.449759863</v>
      </c>
      <c r="G11" s="127">
        <f t="shared" si="5"/>
        <v>46388909.487217814</v>
      </c>
      <c r="H11" s="127">
        <f t="shared" si="5"/>
        <v>53048783.307548463</v>
      </c>
      <c r="I11" s="127">
        <f t="shared" si="5"/>
        <v>9812032</v>
      </c>
      <c r="J11" s="127">
        <f>SUM(J4:J9)</f>
        <v>16285717.872080524</v>
      </c>
      <c r="K11" s="127">
        <f t="shared" si="5"/>
        <v>79146533.179628983</v>
      </c>
      <c r="L11" s="127">
        <f>SUM(L4:L9)</f>
        <v>32757623.692411177</v>
      </c>
      <c r="M11" s="71"/>
    </row>
    <row r="13" spans="1:13" x14ac:dyDescent="0.25">
      <c r="C13" s="134" t="s">
        <v>250</v>
      </c>
      <c r="D13" s="135">
        <f>H11-F11-E11</f>
        <v>32757623.692411177</v>
      </c>
      <c r="H13" s="301"/>
    </row>
    <row r="14" spans="1:13" ht="13" x14ac:dyDescent="0.3">
      <c r="A14" s="75"/>
      <c r="C14" s="134" t="s">
        <v>251</v>
      </c>
      <c r="D14" s="136">
        <f>1+(-M5/L6)</f>
        <v>6.3103619712997423</v>
      </c>
      <c r="E14" s="15" t="s">
        <v>252</v>
      </c>
    </row>
    <row r="15" spans="1:13" x14ac:dyDescent="0.25">
      <c r="C15" s="134" t="s">
        <v>253</v>
      </c>
      <c r="D15" s="137">
        <f>IRR(L4:L9)</f>
        <v>8.9780630775189385E-2</v>
      </c>
    </row>
    <row r="16" spans="1:13" ht="13" x14ac:dyDescent="0.25">
      <c r="L16" s="531" t="s">
        <v>254</v>
      </c>
      <c r="M16" s="531"/>
    </row>
    <row r="17" spans="8:13" ht="13" x14ac:dyDescent="0.25">
      <c r="J17" s="138"/>
      <c r="L17" s="531" t="s">
        <v>255</v>
      </c>
      <c r="M17" s="531"/>
    </row>
    <row r="18" spans="8:13" ht="13" x14ac:dyDescent="0.3">
      <c r="L18" s="139" t="s">
        <v>102</v>
      </c>
      <c r="M18" s="140" t="str">
        <f>IF(B11=I11,"OK","MAL")</f>
        <v>OK</v>
      </c>
    </row>
    <row r="19" spans="8:13" ht="13" x14ac:dyDescent="0.3">
      <c r="I19" s="301"/>
      <c r="L19" s="139" t="s">
        <v>256</v>
      </c>
      <c r="M19" s="140" t="str">
        <f>IF(D11=J11,"OK","MAL")</f>
        <v>OK</v>
      </c>
    </row>
    <row r="20" spans="8:13" ht="13" x14ac:dyDescent="0.3">
      <c r="I20" s="301"/>
      <c r="L20" s="139" t="s">
        <v>257</v>
      </c>
      <c r="M20" s="140" t="str">
        <f>IF(C11=0,"OK","MAL")</f>
        <v>OK</v>
      </c>
    </row>
    <row r="21" spans="8:13" ht="13" x14ac:dyDescent="0.3">
      <c r="L21" s="139" t="s">
        <v>258</v>
      </c>
      <c r="M21" s="140" t="str">
        <f>IF((H11-F11-E11)=L11,IF(L11=M9,"OK","MAL"),"MAL")</f>
        <v>OK</v>
      </c>
    </row>
    <row r="22" spans="8:13" x14ac:dyDescent="0.25">
      <c r="H22" s="295"/>
      <c r="I22" s="301"/>
      <c r="J22" s="293"/>
    </row>
    <row r="23" spans="8:13" x14ac:dyDescent="0.25">
      <c r="J23" s="301"/>
    </row>
    <row r="26" spans="8:13" x14ac:dyDescent="0.25">
      <c r="I26" s="301">
        <f>J23-I19-I20</f>
        <v>0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scale="66" firstPageNumber="0" fitToHeight="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F28" sqref="F28"/>
    </sheetView>
  </sheetViews>
  <sheetFormatPr baseColWidth="10" defaultRowHeight="12.5" x14ac:dyDescent="0.25"/>
  <cols>
    <col min="2" max="2" width="15.26953125" bestFit="1" customWidth="1"/>
    <col min="3" max="6" width="13.81640625" bestFit="1" customWidth="1"/>
    <col min="7" max="7" width="4.7265625" bestFit="1" customWidth="1"/>
    <col min="8" max="8" width="4" bestFit="1" customWidth="1"/>
    <col min="9" max="9" width="12.26953125" bestFit="1" customWidth="1"/>
  </cols>
  <sheetData>
    <row r="1" spans="2:11" s="294" customFormat="1" x14ac:dyDescent="0.25">
      <c r="B1" s="294" t="s">
        <v>665</v>
      </c>
      <c r="C1" s="286">
        <f>'F-Cred'!D6</f>
        <v>101987.5</v>
      </c>
    </row>
    <row r="2" spans="2:11" s="294" customFormat="1" x14ac:dyDescent="0.25">
      <c r="B2" s="294" t="s">
        <v>690</v>
      </c>
    </row>
    <row r="3" spans="2:11" s="294" customFormat="1" x14ac:dyDescent="0.25">
      <c r="B3" s="294" t="s">
        <v>691</v>
      </c>
      <c r="E3" s="420">
        <f>InfoInicial!B41</f>
        <v>0.2</v>
      </c>
    </row>
    <row r="4" spans="2:11" s="294" customFormat="1" x14ac:dyDescent="0.25">
      <c r="C4" s="294" t="s">
        <v>699</v>
      </c>
      <c r="E4" s="286">
        <f>C1</f>
        <v>101987.5</v>
      </c>
      <c r="F4" s="294" t="s">
        <v>692</v>
      </c>
      <c r="G4" s="420">
        <f>E3</f>
        <v>0.2</v>
      </c>
      <c r="H4" s="294" t="s">
        <v>696</v>
      </c>
      <c r="I4" s="286">
        <f>E4*G4</f>
        <v>20397.5</v>
      </c>
    </row>
    <row r="5" spans="2:11" s="294" customFormat="1" x14ac:dyDescent="0.25">
      <c r="C5" s="294" t="s">
        <v>54</v>
      </c>
      <c r="D5" s="459" t="s">
        <v>693</v>
      </c>
      <c r="E5" s="460"/>
      <c r="F5" s="461">
        <f>I4</f>
        <v>20397.5</v>
      </c>
      <c r="G5" s="459" t="s">
        <v>692</v>
      </c>
      <c r="H5" s="459">
        <v>0.3</v>
      </c>
      <c r="I5" s="462">
        <f>F5*H5</f>
        <v>6119.25</v>
      </c>
      <c r="K5" s="294" t="s">
        <v>697</v>
      </c>
    </row>
    <row r="6" spans="2:11" s="294" customFormat="1" x14ac:dyDescent="0.25">
      <c r="D6" s="459" t="s">
        <v>695</v>
      </c>
      <c r="E6" s="459"/>
      <c r="F6" s="461">
        <f>I4</f>
        <v>20397.5</v>
      </c>
      <c r="G6" s="459" t="s">
        <v>698</v>
      </c>
      <c r="H6" s="459">
        <v>2</v>
      </c>
      <c r="I6" s="462">
        <f>+F6/H6</f>
        <v>10198.75</v>
      </c>
    </row>
    <row r="8" spans="2:11" ht="13" thickBot="1" x14ac:dyDescent="0.3">
      <c r="I8" s="271">
        <f>I5+I6</f>
        <v>16318</v>
      </c>
    </row>
    <row r="9" spans="2:11" ht="13" x14ac:dyDescent="0.3">
      <c r="C9" s="463" t="s">
        <v>269</v>
      </c>
      <c r="D9" s="464" t="s">
        <v>270</v>
      </c>
      <c r="E9" s="464" t="s">
        <v>272</v>
      </c>
      <c r="F9" s="465" t="s">
        <v>272</v>
      </c>
    </row>
    <row r="10" spans="2:11" ht="13.5" thickBot="1" x14ac:dyDescent="0.35">
      <c r="C10" s="466"/>
      <c r="D10" s="458"/>
      <c r="E10" s="458" t="s">
        <v>275</v>
      </c>
      <c r="F10" s="467" t="s">
        <v>41</v>
      </c>
    </row>
    <row r="11" spans="2:11" ht="13" thickTop="1" x14ac:dyDescent="0.25">
      <c r="C11" s="468" t="s">
        <v>680</v>
      </c>
      <c r="D11" s="296">
        <f>$C$1</f>
        <v>101987.5</v>
      </c>
      <c r="E11" s="296">
        <f>I5</f>
        <v>6119.25</v>
      </c>
      <c r="F11" s="469"/>
    </row>
    <row r="12" spans="2:11" x14ac:dyDescent="0.25">
      <c r="C12" s="470" t="s">
        <v>681</v>
      </c>
      <c r="D12" s="296">
        <f t="shared" ref="D12:D20" si="0">$C$1</f>
        <v>101987.5</v>
      </c>
      <c r="E12" s="296">
        <f>$I$6</f>
        <v>10198.75</v>
      </c>
      <c r="F12" s="469">
        <f>E11+E12</f>
        <v>16318</v>
      </c>
    </row>
    <row r="13" spans="2:11" x14ac:dyDescent="0.25">
      <c r="C13" s="470" t="s">
        <v>682</v>
      </c>
      <c r="D13" s="296">
        <f t="shared" si="0"/>
        <v>101987.5</v>
      </c>
      <c r="E13" s="296">
        <f t="shared" ref="E13:E20" si="1">$I$6</f>
        <v>10198.75</v>
      </c>
      <c r="F13" s="469"/>
    </row>
    <row r="14" spans="2:11" x14ac:dyDescent="0.25">
      <c r="C14" s="470" t="s">
        <v>683</v>
      </c>
      <c r="D14" s="296">
        <f t="shared" si="0"/>
        <v>101987.5</v>
      </c>
      <c r="E14" s="296">
        <f t="shared" si="1"/>
        <v>10198.75</v>
      </c>
      <c r="F14" s="469">
        <f t="shared" ref="F14:F20" si="2">E13+E14</f>
        <v>20397.5</v>
      </c>
    </row>
    <row r="15" spans="2:11" x14ac:dyDescent="0.25">
      <c r="C15" s="470" t="s">
        <v>684</v>
      </c>
      <c r="D15" s="296">
        <f t="shared" si="0"/>
        <v>101987.5</v>
      </c>
      <c r="E15" s="296">
        <f t="shared" si="1"/>
        <v>10198.75</v>
      </c>
      <c r="F15" s="469"/>
    </row>
    <row r="16" spans="2:11" x14ac:dyDescent="0.25">
      <c r="C16" s="470" t="s">
        <v>685</v>
      </c>
      <c r="D16" s="296">
        <f t="shared" si="0"/>
        <v>101987.5</v>
      </c>
      <c r="E16" s="296">
        <f t="shared" si="1"/>
        <v>10198.75</v>
      </c>
      <c r="F16" s="469">
        <f t="shared" si="2"/>
        <v>20397.5</v>
      </c>
    </row>
    <row r="17" spans="3:6" x14ac:dyDescent="0.25">
      <c r="C17" s="470" t="s">
        <v>686</v>
      </c>
      <c r="D17" s="296">
        <f t="shared" si="0"/>
        <v>101987.5</v>
      </c>
      <c r="E17" s="296">
        <f t="shared" si="1"/>
        <v>10198.75</v>
      </c>
      <c r="F17" s="469"/>
    </row>
    <row r="18" spans="3:6" x14ac:dyDescent="0.25">
      <c r="C18" s="470" t="s">
        <v>687</v>
      </c>
      <c r="D18" s="296">
        <f t="shared" si="0"/>
        <v>101987.5</v>
      </c>
      <c r="E18" s="296">
        <f t="shared" si="1"/>
        <v>10198.75</v>
      </c>
      <c r="F18" s="469">
        <f t="shared" si="2"/>
        <v>20397.5</v>
      </c>
    </row>
    <row r="19" spans="3:6" x14ac:dyDescent="0.25">
      <c r="C19" s="470" t="s">
        <v>688</v>
      </c>
      <c r="D19" s="296">
        <f t="shared" si="0"/>
        <v>101987.5</v>
      </c>
      <c r="E19" s="296">
        <f t="shared" si="1"/>
        <v>10198.75</v>
      </c>
      <c r="F19" s="469"/>
    </row>
    <row r="20" spans="3:6" ht="13" thickBot="1" x14ac:dyDescent="0.3">
      <c r="C20" s="471" t="s">
        <v>689</v>
      </c>
      <c r="D20" s="472">
        <f t="shared" si="0"/>
        <v>101987.5</v>
      </c>
      <c r="E20" s="472">
        <f t="shared" si="1"/>
        <v>10198.75</v>
      </c>
      <c r="F20" s="473">
        <f t="shared" si="2"/>
        <v>20397.5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opLeftCell="C31" zoomScaleNormal="100" workbookViewId="0">
      <selection activeCell="G39" sqref="G39"/>
    </sheetView>
  </sheetViews>
  <sheetFormatPr baseColWidth="10" defaultRowHeight="12.5" x14ac:dyDescent="0.25"/>
  <cols>
    <col min="2" max="2" width="30.54296875" bestFit="1" customWidth="1"/>
    <col min="3" max="3" width="19.7265625" customWidth="1"/>
    <col min="4" max="4" width="10.453125" customWidth="1"/>
    <col min="5" max="5" width="20" bestFit="1" customWidth="1"/>
    <col min="6" max="6" width="20.7265625" bestFit="1" customWidth="1"/>
    <col min="7" max="7" width="14.81640625" bestFit="1" customWidth="1"/>
    <col min="8" max="8" width="17" bestFit="1" customWidth="1"/>
    <col min="9" max="9" width="15.81640625" customWidth="1"/>
    <col min="10" max="10" width="14.453125" bestFit="1" customWidth="1"/>
    <col min="11" max="11" width="14.81640625" bestFit="1" customWidth="1"/>
  </cols>
  <sheetData>
    <row r="1" spans="2:12" ht="13" thickBot="1" x14ac:dyDescent="0.3"/>
    <row r="2" spans="2:12" x14ac:dyDescent="0.25">
      <c r="B2" s="421" t="s">
        <v>637</v>
      </c>
      <c r="C2" s="345"/>
    </row>
    <row r="3" spans="2:12" x14ac:dyDescent="0.25">
      <c r="B3" s="351" t="s">
        <v>638</v>
      </c>
      <c r="C3" s="422">
        <f>'E-Inv AF y Am'!B7</f>
        <v>36616000</v>
      </c>
      <c r="F3" t="s">
        <v>651</v>
      </c>
      <c r="G3">
        <f>InfoInicial!B32</f>
        <v>39.799999999999997</v>
      </c>
      <c r="H3" t="s">
        <v>652</v>
      </c>
    </row>
    <row r="4" spans="2:12" x14ac:dyDescent="0.25">
      <c r="B4" s="351" t="s">
        <v>639</v>
      </c>
      <c r="C4" s="423">
        <v>0.7</v>
      </c>
      <c r="F4" t="s">
        <v>650</v>
      </c>
      <c r="G4">
        <f>'Aux E-Costos'!Q5/1000</f>
        <v>4.0999999999999996</v>
      </c>
    </row>
    <row r="5" spans="2:12" ht="13" thickBot="1" x14ac:dyDescent="0.3">
      <c r="B5" s="355"/>
      <c r="C5" s="424">
        <f>C3*C4</f>
        <v>25631200</v>
      </c>
      <c r="F5" t="s">
        <v>653</v>
      </c>
      <c r="G5">
        <f>G3*G4</f>
        <v>163.17999999999998</v>
      </c>
    </row>
    <row r="6" spans="2:12" x14ac:dyDescent="0.25">
      <c r="I6" t="s">
        <v>660</v>
      </c>
      <c r="L6" s="420">
        <f>InfoInicial!B41</f>
        <v>0.2</v>
      </c>
    </row>
    <row r="7" spans="2:12" x14ac:dyDescent="0.25">
      <c r="K7" t="s">
        <v>694</v>
      </c>
      <c r="L7" s="428">
        <f>L6/2</f>
        <v>0.1</v>
      </c>
    </row>
    <row r="9" spans="2:12" x14ac:dyDescent="0.25">
      <c r="D9" t="s">
        <v>654</v>
      </c>
      <c r="E9" t="s">
        <v>655</v>
      </c>
      <c r="F9" t="s">
        <v>656</v>
      </c>
      <c r="G9" t="s">
        <v>657</v>
      </c>
      <c r="H9" t="s">
        <v>658</v>
      </c>
      <c r="I9" t="s">
        <v>659</v>
      </c>
    </row>
    <row r="10" spans="2:12" x14ac:dyDescent="0.25">
      <c r="D10" s="272" t="s">
        <v>649</v>
      </c>
      <c r="E10">
        <v>5000</v>
      </c>
      <c r="F10" s="429">
        <f>E10*$G$5</f>
        <v>815899.99999999988</v>
      </c>
      <c r="G10" s="429">
        <f>F10*InfoInicial!$B$40</f>
        <v>407949.99999999994</v>
      </c>
      <c r="H10" s="272" t="s">
        <v>640</v>
      </c>
      <c r="I10" s="286">
        <f>G10*$L$7</f>
        <v>40795</v>
      </c>
    </row>
    <row r="11" spans="2:12" x14ac:dyDescent="0.25">
      <c r="D11" t="s">
        <v>640</v>
      </c>
      <c r="E11">
        <v>4000</v>
      </c>
      <c r="F11" s="429">
        <f t="shared" ref="F11:F17" si="0">E11*$G$5</f>
        <v>652719.99999999988</v>
      </c>
      <c r="G11" s="429">
        <f>F11*InfoInicial!$B$40</f>
        <v>326359.99999999994</v>
      </c>
      <c r="H11" t="s">
        <v>642</v>
      </c>
      <c r="I11" s="286">
        <f t="shared" ref="I11:I17" si="1">G11*$L$7</f>
        <v>32635.999999999996</v>
      </c>
    </row>
    <row r="12" spans="2:12" x14ac:dyDescent="0.25">
      <c r="D12" t="s">
        <v>641</v>
      </c>
      <c r="E12">
        <v>4000</v>
      </c>
      <c r="F12" s="429">
        <f t="shared" si="0"/>
        <v>652719.99999999988</v>
      </c>
      <c r="G12" s="429">
        <f>F12*InfoInicial!$B$40</f>
        <v>326359.99999999994</v>
      </c>
      <c r="H12" t="s">
        <v>643</v>
      </c>
      <c r="I12" s="286">
        <f t="shared" si="1"/>
        <v>32635.999999999996</v>
      </c>
    </row>
    <row r="13" spans="2:12" x14ac:dyDescent="0.25">
      <c r="D13" s="294" t="s">
        <v>642</v>
      </c>
      <c r="E13">
        <v>4000</v>
      </c>
      <c r="F13" s="429">
        <f t="shared" si="0"/>
        <v>652719.99999999988</v>
      </c>
      <c r="G13" s="429">
        <f>F13*InfoInicial!$B$40</f>
        <v>326359.99999999994</v>
      </c>
      <c r="H13" t="s">
        <v>644</v>
      </c>
      <c r="I13" s="286">
        <f t="shared" si="1"/>
        <v>32635.999999999996</v>
      </c>
    </row>
    <row r="14" spans="2:12" x14ac:dyDescent="0.25">
      <c r="D14" s="294" t="s">
        <v>643</v>
      </c>
      <c r="E14">
        <v>4000</v>
      </c>
      <c r="F14" s="429">
        <f t="shared" si="0"/>
        <v>652719.99999999988</v>
      </c>
      <c r="G14" s="429">
        <f>F14*InfoInicial!$B$40</f>
        <v>326359.99999999994</v>
      </c>
      <c r="H14" t="s">
        <v>645</v>
      </c>
      <c r="I14" s="286">
        <f t="shared" si="1"/>
        <v>32635.999999999996</v>
      </c>
    </row>
    <row r="15" spans="2:12" x14ac:dyDescent="0.25">
      <c r="D15" s="294" t="s">
        <v>644</v>
      </c>
      <c r="E15">
        <v>3000</v>
      </c>
      <c r="F15" s="429">
        <f t="shared" si="0"/>
        <v>489539.99999999994</v>
      </c>
      <c r="G15" s="429">
        <f>F15*InfoInicial!$B$40</f>
        <v>244769.99999999997</v>
      </c>
      <c r="H15" s="294" t="s">
        <v>646</v>
      </c>
      <c r="I15" s="286">
        <f t="shared" si="1"/>
        <v>24477</v>
      </c>
    </row>
    <row r="16" spans="2:12" x14ac:dyDescent="0.25">
      <c r="D16" s="294" t="s">
        <v>645</v>
      </c>
      <c r="E16">
        <v>3000</v>
      </c>
      <c r="F16" s="429">
        <f t="shared" si="0"/>
        <v>489539.99999999994</v>
      </c>
      <c r="G16" s="429">
        <f>F16*InfoInicial!$B$40</f>
        <v>244769.99999999997</v>
      </c>
      <c r="H16" s="294" t="s">
        <v>647</v>
      </c>
      <c r="I16" s="286">
        <f t="shared" si="1"/>
        <v>24477</v>
      </c>
    </row>
    <row r="17" spans="2:11" x14ac:dyDescent="0.25">
      <c r="D17" s="294" t="s">
        <v>646</v>
      </c>
      <c r="E17">
        <v>3000</v>
      </c>
      <c r="F17" s="429">
        <f t="shared" si="0"/>
        <v>489539.99999999994</v>
      </c>
      <c r="G17" s="429">
        <f>F17*InfoInicial!$B$40</f>
        <v>244769.99999999997</v>
      </c>
      <c r="H17" s="294" t="s">
        <v>648</v>
      </c>
      <c r="I17" s="286">
        <f t="shared" si="1"/>
        <v>24477</v>
      </c>
    </row>
    <row r="18" spans="2:11" x14ac:dyDescent="0.25">
      <c r="D18" t="s">
        <v>158</v>
      </c>
      <c r="F18" s="286">
        <f>SUM(F10:F17)</f>
        <v>4895399.9999999991</v>
      </c>
      <c r="G18" s="286">
        <f>SUM(G10:G17)</f>
        <v>2447699.9999999995</v>
      </c>
      <c r="H18" s="286"/>
      <c r="I18" s="286">
        <f>SUM(I10:I17)</f>
        <v>244770</v>
      </c>
      <c r="J18" s="286"/>
    </row>
    <row r="20" spans="2:11" x14ac:dyDescent="0.25">
      <c r="D20" s="294" t="s">
        <v>661</v>
      </c>
      <c r="G20" s="286">
        <f>+I18/InfoInicial!B41/12</f>
        <v>101987.5</v>
      </c>
    </row>
    <row r="25" spans="2:11" x14ac:dyDescent="0.25">
      <c r="B25" t="s">
        <v>662</v>
      </c>
      <c r="C25" t="s">
        <v>663</v>
      </c>
    </row>
    <row r="26" spans="2:11" x14ac:dyDescent="0.25">
      <c r="B26" t="s">
        <v>664</v>
      </c>
      <c r="C26" s="286">
        <f>C3</f>
        <v>36616000</v>
      </c>
    </row>
    <row r="27" spans="2:11" x14ac:dyDescent="0.25">
      <c r="B27" t="s">
        <v>665</v>
      </c>
      <c r="C27" s="286">
        <f>C5</f>
        <v>25631200</v>
      </c>
      <c r="E27" t="s">
        <v>708</v>
      </c>
      <c r="F27" s="271">
        <f>C27/6</f>
        <v>4271866.666666667</v>
      </c>
    </row>
    <row r="28" spans="2:11" x14ac:dyDescent="0.25">
      <c r="B28" t="s">
        <v>666</v>
      </c>
      <c r="C28" s="426">
        <f>InfoInicial!B35</f>
        <v>0.28999999999999998</v>
      </c>
      <c r="D28" t="s">
        <v>667</v>
      </c>
      <c r="E28" t="s">
        <v>674</v>
      </c>
      <c r="F28" s="427">
        <f>C28/2</f>
        <v>0.14499999999999999</v>
      </c>
    </row>
    <row r="29" spans="2:11" x14ac:dyDescent="0.25">
      <c r="B29" t="s">
        <v>668</v>
      </c>
      <c r="C29" s="433">
        <v>0.04</v>
      </c>
      <c r="D29" t="s">
        <v>633</v>
      </c>
    </row>
    <row r="31" spans="2:11" ht="13" thickBot="1" x14ac:dyDescent="0.3"/>
    <row r="32" spans="2:11" x14ac:dyDescent="0.25">
      <c r="B32" s="435" t="s">
        <v>669</v>
      </c>
      <c r="C32" s="436" t="s">
        <v>670</v>
      </c>
      <c r="D32" s="439" t="s">
        <v>238</v>
      </c>
      <c r="E32" s="445" t="s">
        <v>671</v>
      </c>
      <c r="F32" s="441" t="s">
        <v>672</v>
      </c>
      <c r="G32" s="450" t="s">
        <v>673</v>
      </c>
      <c r="H32" s="441" t="s">
        <v>675</v>
      </c>
      <c r="I32" s="450" t="s">
        <v>676</v>
      </c>
      <c r="J32" s="441" t="s">
        <v>677</v>
      </c>
      <c r="K32" s="454" t="s">
        <v>678</v>
      </c>
    </row>
    <row r="33" spans="2:11" x14ac:dyDescent="0.25">
      <c r="B33" s="437">
        <v>1</v>
      </c>
      <c r="C33" s="434">
        <v>5</v>
      </c>
      <c r="D33" s="440">
        <v>-1</v>
      </c>
      <c r="E33" s="446">
        <f>C27/3</f>
        <v>8543733.333333334</v>
      </c>
      <c r="F33" s="442"/>
      <c r="G33" s="451"/>
      <c r="H33" s="442"/>
      <c r="I33" s="451"/>
      <c r="J33" s="443">
        <f>$E$33*$C$29</f>
        <v>341749.33333333337</v>
      </c>
      <c r="K33" s="455"/>
    </row>
    <row r="34" spans="2:11" x14ac:dyDescent="0.25">
      <c r="B34" s="437">
        <v>1</v>
      </c>
      <c r="C34" s="434">
        <v>8</v>
      </c>
      <c r="D34" s="440">
        <v>-1</v>
      </c>
      <c r="E34" s="446">
        <f>C27*(2/3)</f>
        <v>17087466.666666664</v>
      </c>
      <c r="F34" s="442"/>
      <c r="G34" s="452">
        <f>E33*F28/2</f>
        <v>619420.66666666663</v>
      </c>
      <c r="H34" s="442"/>
      <c r="I34" s="451"/>
      <c r="J34" s="443">
        <f>$E$33*$C$29</f>
        <v>341749.33333333337</v>
      </c>
      <c r="K34" s="455"/>
    </row>
    <row r="35" spans="2:11" x14ac:dyDescent="0.25">
      <c r="B35" s="437">
        <v>1</v>
      </c>
      <c r="C35" s="434">
        <v>11</v>
      </c>
      <c r="D35" s="440">
        <v>-1</v>
      </c>
      <c r="E35" s="446">
        <f>C27</f>
        <v>25631200</v>
      </c>
      <c r="F35" s="442"/>
      <c r="G35" s="452">
        <f>E33*F28</f>
        <v>1238841.3333333333</v>
      </c>
      <c r="H35" s="442"/>
      <c r="I35" s="451"/>
      <c r="J35" s="443">
        <f>$E$33*$C$29</f>
        <v>341749.33333333337</v>
      </c>
      <c r="K35" s="455"/>
    </row>
    <row r="36" spans="2:11" x14ac:dyDescent="0.25">
      <c r="B36" s="437">
        <v>31</v>
      </c>
      <c r="C36" s="434">
        <v>12</v>
      </c>
      <c r="D36" s="440">
        <v>-1</v>
      </c>
      <c r="E36" s="446">
        <f>C27</f>
        <v>25631200</v>
      </c>
      <c r="F36" s="442"/>
      <c r="G36" s="452">
        <f>E33*F28</f>
        <v>1238841.3333333333</v>
      </c>
      <c r="H36" s="442"/>
      <c r="I36" s="451"/>
      <c r="J36" s="442"/>
      <c r="K36" s="455"/>
    </row>
    <row r="37" spans="2:11" x14ac:dyDescent="0.25">
      <c r="B37" s="437"/>
      <c r="C37" s="438" t="s">
        <v>679</v>
      </c>
      <c r="E37" s="447"/>
      <c r="F37" s="442"/>
      <c r="G37" s="452">
        <f>SUM(G34:G36)</f>
        <v>3097103.333333333</v>
      </c>
      <c r="H37" s="443">
        <f>SUM(H34:H36)</f>
        <v>0</v>
      </c>
      <c r="I37" s="452"/>
      <c r="J37" s="443">
        <f>SUM(J33:J36)</f>
        <v>1025248.0000000001</v>
      </c>
      <c r="K37" s="456">
        <f>I37+J37</f>
        <v>1025248.0000000001</v>
      </c>
    </row>
    <row r="38" spans="2:11" x14ac:dyDescent="0.25">
      <c r="B38" s="437">
        <v>1</v>
      </c>
      <c r="C38" s="434">
        <v>1</v>
      </c>
      <c r="D38" s="440">
        <v>1</v>
      </c>
      <c r="E38" s="448">
        <f>$C$27</f>
        <v>25631200</v>
      </c>
      <c r="F38" s="442"/>
      <c r="G38" s="451"/>
      <c r="H38" s="442"/>
      <c r="I38" s="451"/>
      <c r="J38" s="442"/>
      <c r="K38" s="455"/>
    </row>
    <row r="39" spans="2:11" x14ac:dyDescent="0.25">
      <c r="B39" s="437">
        <v>30</v>
      </c>
      <c r="C39" s="434">
        <v>6</v>
      </c>
      <c r="D39" s="440">
        <v>1</v>
      </c>
      <c r="E39" s="448">
        <f>$C$27</f>
        <v>25631200</v>
      </c>
      <c r="F39" s="442"/>
      <c r="G39" s="452">
        <f>E38*$F$28</f>
        <v>3716523.9999999995</v>
      </c>
      <c r="H39" s="442"/>
      <c r="I39" s="451"/>
      <c r="J39" s="442"/>
      <c r="K39" s="456">
        <f>G39</f>
        <v>3716523.9999999995</v>
      </c>
    </row>
    <row r="40" spans="2:11" x14ac:dyDescent="0.25">
      <c r="B40" s="437">
        <v>31</v>
      </c>
      <c r="C40" s="434">
        <v>12</v>
      </c>
      <c r="D40" s="440">
        <v>1</v>
      </c>
      <c r="E40" s="448">
        <f>$C$27</f>
        <v>25631200</v>
      </c>
      <c r="F40" s="442"/>
      <c r="G40" s="452">
        <f t="shared" ref="G40:G47" si="2">E39*$F$28</f>
        <v>3716523.9999999995</v>
      </c>
      <c r="H40" s="442"/>
      <c r="I40" s="452">
        <f>G39+G40</f>
        <v>7433047.9999999991</v>
      </c>
      <c r="J40" s="442"/>
      <c r="K40" s="456">
        <f>G40</f>
        <v>3716523.9999999995</v>
      </c>
    </row>
    <row r="41" spans="2:11" x14ac:dyDescent="0.25">
      <c r="B41" s="437">
        <v>30</v>
      </c>
      <c r="C41" s="434">
        <v>6</v>
      </c>
      <c r="D41" s="440">
        <v>2</v>
      </c>
      <c r="E41" s="448">
        <f>$C$27</f>
        <v>25631200</v>
      </c>
      <c r="F41" s="442"/>
      <c r="G41" s="452">
        <f t="shared" si="2"/>
        <v>3716523.9999999995</v>
      </c>
      <c r="H41" s="442"/>
      <c r="I41" s="451"/>
      <c r="J41" s="442"/>
      <c r="K41" s="456">
        <f>G41</f>
        <v>3716523.9999999995</v>
      </c>
    </row>
    <row r="42" spans="2:11" x14ac:dyDescent="0.25">
      <c r="B42" s="437">
        <v>31</v>
      </c>
      <c r="C42" s="434">
        <v>12</v>
      </c>
      <c r="D42" s="440">
        <v>2</v>
      </c>
      <c r="E42" s="449">
        <f t="shared" ref="E42:E47" si="3">E41-F42</f>
        <v>21359333.333333332</v>
      </c>
      <c r="F42" s="443">
        <f t="shared" ref="F42:F47" si="4">$F$27</f>
        <v>4271866.666666667</v>
      </c>
      <c r="G42" s="452">
        <f t="shared" si="2"/>
        <v>3716523.9999999995</v>
      </c>
      <c r="H42" s="443">
        <f>F42+F41</f>
        <v>4271866.666666667</v>
      </c>
      <c r="I42" s="452">
        <f>G42+G41</f>
        <v>7433047.9999999991</v>
      </c>
      <c r="J42" s="442"/>
      <c r="K42" s="456">
        <f t="shared" ref="K42:K47" si="5">F42+G42</f>
        <v>7988390.666666666</v>
      </c>
    </row>
    <row r="43" spans="2:11" x14ac:dyDescent="0.25">
      <c r="B43" s="437">
        <v>30</v>
      </c>
      <c r="C43" s="434">
        <v>6</v>
      </c>
      <c r="D43" s="440">
        <v>3</v>
      </c>
      <c r="E43" s="449">
        <f t="shared" si="3"/>
        <v>17087466.666666664</v>
      </c>
      <c r="F43" s="443">
        <f t="shared" si="4"/>
        <v>4271866.666666667</v>
      </c>
      <c r="G43" s="452">
        <f t="shared" si="2"/>
        <v>3097103.333333333</v>
      </c>
      <c r="H43" s="443"/>
      <c r="I43" s="452"/>
      <c r="J43" s="442"/>
      <c r="K43" s="456">
        <f t="shared" si="5"/>
        <v>7368970</v>
      </c>
    </row>
    <row r="44" spans="2:11" x14ac:dyDescent="0.25">
      <c r="B44" s="437">
        <v>31</v>
      </c>
      <c r="C44" s="434">
        <v>12</v>
      </c>
      <c r="D44" s="440">
        <v>3</v>
      </c>
      <c r="E44" s="449">
        <f t="shared" si="3"/>
        <v>12815599.999999996</v>
      </c>
      <c r="F44" s="443">
        <f t="shared" si="4"/>
        <v>4271866.666666667</v>
      </c>
      <c r="G44" s="452">
        <f t="shared" si="2"/>
        <v>2477682.666666666</v>
      </c>
      <c r="H44" s="443">
        <f>F44+F43</f>
        <v>8543733.333333334</v>
      </c>
      <c r="I44" s="452">
        <f>G44+G43</f>
        <v>5574785.9999999991</v>
      </c>
      <c r="J44" s="442"/>
      <c r="K44" s="456">
        <f t="shared" si="5"/>
        <v>6749549.333333333</v>
      </c>
    </row>
    <row r="45" spans="2:11" x14ac:dyDescent="0.25">
      <c r="B45" s="437">
        <v>30</v>
      </c>
      <c r="C45" s="434">
        <v>6</v>
      </c>
      <c r="D45" s="440">
        <v>4</v>
      </c>
      <c r="E45" s="449">
        <f t="shared" si="3"/>
        <v>8543733.3333333284</v>
      </c>
      <c r="F45" s="443">
        <f t="shared" si="4"/>
        <v>4271866.666666667</v>
      </c>
      <c r="G45" s="452">
        <f t="shared" si="2"/>
        <v>1858261.9999999993</v>
      </c>
      <c r="H45" s="443"/>
      <c r="I45" s="452"/>
      <c r="J45" s="442"/>
      <c r="K45" s="456">
        <f t="shared" si="5"/>
        <v>6130128.666666666</v>
      </c>
    </row>
    <row r="46" spans="2:11" x14ac:dyDescent="0.25">
      <c r="B46" s="437">
        <v>31</v>
      </c>
      <c r="C46" s="434">
        <v>12</v>
      </c>
      <c r="D46" s="440">
        <v>4</v>
      </c>
      <c r="E46" s="449">
        <f t="shared" si="3"/>
        <v>4271866.6666666614</v>
      </c>
      <c r="F46" s="443">
        <f t="shared" si="4"/>
        <v>4271866.666666667</v>
      </c>
      <c r="G46" s="452">
        <f t="shared" si="2"/>
        <v>1238841.3333333326</v>
      </c>
      <c r="H46" s="443">
        <f>F46+F45</f>
        <v>8543733.333333334</v>
      </c>
      <c r="I46" s="452">
        <f>G46+G45</f>
        <v>3097103.3333333321</v>
      </c>
      <c r="J46" s="442"/>
      <c r="K46" s="456">
        <f t="shared" si="5"/>
        <v>5510708</v>
      </c>
    </row>
    <row r="47" spans="2:11" x14ac:dyDescent="0.25">
      <c r="B47" s="437">
        <v>30</v>
      </c>
      <c r="C47" s="434">
        <v>6</v>
      </c>
      <c r="D47" s="440">
        <v>5</v>
      </c>
      <c r="E47" s="449">
        <f t="shared" si="3"/>
        <v>0</v>
      </c>
      <c r="F47" s="443">
        <f t="shared" si="4"/>
        <v>4271866.666666667</v>
      </c>
      <c r="G47" s="452">
        <f t="shared" si="2"/>
        <v>619420.66666666581</v>
      </c>
      <c r="H47" s="443">
        <f>F47</f>
        <v>4271866.666666667</v>
      </c>
      <c r="I47" s="443">
        <f>G47</f>
        <v>619420.66666666581</v>
      </c>
      <c r="J47" s="442"/>
      <c r="K47" s="456">
        <f t="shared" si="5"/>
        <v>4891287.333333333</v>
      </c>
    </row>
    <row r="48" spans="2:11" ht="13" thickBot="1" x14ac:dyDescent="0.3">
      <c r="B48" s="532" t="s">
        <v>198</v>
      </c>
      <c r="C48" s="533"/>
      <c r="D48" s="533"/>
      <c r="E48" s="534"/>
      <c r="F48" s="444">
        <f>SUM(F42:F47)</f>
        <v>25631200.000000004</v>
      </c>
      <c r="G48" s="453">
        <f>SUM(G37:G47)</f>
        <v>27254509.333333325</v>
      </c>
      <c r="H48" s="444">
        <f>SUM(H37:H47)</f>
        <v>25631200.000000004</v>
      </c>
      <c r="I48" s="453">
        <f>SUM(I37:I47)</f>
        <v>24157405.999999993</v>
      </c>
      <c r="J48" s="444">
        <f>SUM(J37:J47)</f>
        <v>1025248.0000000001</v>
      </c>
      <c r="K48" s="457">
        <f>SUM(K37:K47)</f>
        <v>50813854</v>
      </c>
    </row>
    <row r="50" spans="8:9" x14ac:dyDescent="0.25">
      <c r="I50" s="271">
        <f>+K37+G37+I48</f>
        <v>28279757.333333325</v>
      </c>
    </row>
    <row r="51" spans="8:9" x14ac:dyDescent="0.25">
      <c r="H51" s="271">
        <f>+G48+H48+J48</f>
        <v>53910957.333333328</v>
      </c>
    </row>
  </sheetData>
  <mergeCells count="1">
    <mergeCell ref="B48:E4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90" zoomScaleNormal="90" workbookViewId="0">
      <selection activeCell="B20" sqref="B20"/>
    </sheetView>
  </sheetViews>
  <sheetFormatPr baseColWidth="10" defaultColWidth="11.26953125" defaultRowHeight="12.5" x14ac:dyDescent="0.25"/>
  <cols>
    <col min="1" max="1" width="27.1796875" style="15" customWidth="1"/>
    <col min="2" max="3" width="16" style="15" bestFit="1" customWidth="1"/>
    <col min="4" max="4" width="17.1796875" style="15" bestFit="1" customWidth="1"/>
    <col min="5" max="5" width="16" style="15" bestFit="1" customWidth="1"/>
    <col min="6" max="7" width="17.1796875" style="15" bestFit="1" customWidth="1"/>
    <col min="8" max="8" width="7.26953125" style="15" bestFit="1" customWidth="1"/>
    <col min="9" max="9" width="15" style="15" customWidth="1"/>
    <col min="10" max="10" width="13.453125" style="15" bestFit="1" customWidth="1"/>
    <col min="11" max="16384" width="11.26953125" style="15"/>
  </cols>
  <sheetData>
    <row r="1" spans="1:9" ht="13" x14ac:dyDescent="0.3">
      <c r="A1" s="1" t="s">
        <v>0</v>
      </c>
      <c r="B1"/>
      <c r="C1"/>
      <c r="D1"/>
      <c r="F1" s="141">
        <f>InfoInicial!E1</f>
        <v>2</v>
      </c>
      <c r="G1" s="2"/>
    </row>
    <row r="2" spans="1:9" ht="15.5" x14ac:dyDescent="0.35">
      <c r="A2" s="142" t="s">
        <v>259</v>
      </c>
      <c r="B2" s="90"/>
      <c r="C2" s="90"/>
      <c r="D2" s="90"/>
      <c r="E2" s="90"/>
      <c r="F2" s="90"/>
      <c r="G2" s="91"/>
    </row>
    <row r="3" spans="1:9" ht="13" x14ac:dyDescent="0.3">
      <c r="A3" s="59" t="s">
        <v>94</v>
      </c>
      <c r="B3" s="535" t="s">
        <v>260</v>
      </c>
      <c r="C3" s="535"/>
      <c r="D3" s="535" t="s">
        <v>261</v>
      </c>
      <c r="E3" s="535"/>
      <c r="F3" s="536" t="s">
        <v>262</v>
      </c>
      <c r="G3" s="536"/>
    </row>
    <row r="4" spans="1:9" ht="13" x14ac:dyDescent="0.3">
      <c r="A4" s="59" t="s">
        <v>80</v>
      </c>
      <c r="B4" s="143" t="s">
        <v>263</v>
      </c>
      <c r="C4" s="143" t="s">
        <v>264</v>
      </c>
      <c r="D4" s="143" t="s">
        <v>263</v>
      </c>
      <c r="E4" s="143" t="s">
        <v>264</v>
      </c>
      <c r="F4" s="143" t="s">
        <v>263</v>
      </c>
      <c r="G4" s="144" t="s">
        <v>264</v>
      </c>
    </row>
    <row r="5" spans="1:9" x14ac:dyDescent="0.25">
      <c r="A5" s="28" t="s">
        <v>265</v>
      </c>
      <c r="B5" s="296">
        <f>+'E-Form'!B4</f>
        <v>54256592</v>
      </c>
      <c r="C5" s="87">
        <f>B5/$B$8</f>
        <v>0.6071741979725428</v>
      </c>
      <c r="D5" s="296">
        <f>B5*0.7</f>
        <v>37979614.399999999</v>
      </c>
      <c r="E5" s="430">
        <f>D5*C5/B5</f>
        <v>0.42502193858077997</v>
      </c>
      <c r="F5" s="296">
        <f>B5-D5</f>
        <v>16276977.600000001</v>
      </c>
      <c r="G5" s="431">
        <f>F5*C5/B5</f>
        <v>0.18215225939176286</v>
      </c>
    </row>
    <row r="6" spans="1:9" x14ac:dyDescent="0.25">
      <c r="A6" s="26" t="s">
        <v>266</v>
      </c>
      <c r="B6" s="296">
        <f>'E-Cal Inv.'!C18+'E-Cal Inv.'!D18</f>
        <v>19567941.76039435</v>
      </c>
      <c r="C6" s="87">
        <f>B6/$B$8</f>
        <v>0.21898075250175808</v>
      </c>
      <c r="D6" s="296">
        <f>'Aux F-Cred'!G20</f>
        <v>101987.5</v>
      </c>
      <c r="E6" s="430">
        <f>D6*C6/B6</f>
        <v>1.1413208281811124E-3</v>
      </c>
      <c r="F6" s="296">
        <f>B6-D6</f>
        <v>19465954.26039435</v>
      </c>
      <c r="G6" s="431">
        <f>F6*C6/B6</f>
        <v>0.21783943167357697</v>
      </c>
    </row>
    <row r="7" spans="1:9" x14ac:dyDescent="0.25">
      <c r="A7" s="26" t="s">
        <v>267</v>
      </c>
      <c r="B7" s="296">
        <f>'E-Cal Inv.'!B23+'E-Cal Inv.'!C23+'E-Cal Inv.'!D23</f>
        <v>15534652.089682814</v>
      </c>
      <c r="C7" s="87">
        <f>B7/$B$8</f>
        <v>0.17384504952569907</v>
      </c>
      <c r="D7" s="296">
        <v>0</v>
      </c>
      <c r="E7" s="87">
        <f>D7/$D$8</f>
        <v>0</v>
      </c>
      <c r="F7" s="296">
        <f>B7-D7</f>
        <v>15534652.089682814</v>
      </c>
      <c r="G7" s="431">
        <f>F7*C7/B7</f>
        <v>0.17384504952569907</v>
      </c>
    </row>
    <row r="8" spans="1:9" ht="13" x14ac:dyDescent="0.3">
      <c r="A8" s="34" t="s">
        <v>198</v>
      </c>
      <c r="B8" s="415">
        <f t="shared" ref="B8:G8" si="0">SUM(B5:B7)</f>
        <v>89359185.850077167</v>
      </c>
      <c r="C8" s="416">
        <f t="shared" si="0"/>
        <v>1</v>
      </c>
      <c r="D8" s="415">
        <f t="shared" si="0"/>
        <v>38081601.899999999</v>
      </c>
      <c r="E8" s="416">
        <f t="shared" si="0"/>
        <v>0.4261632594089611</v>
      </c>
      <c r="F8" s="415">
        <f t="shared" si="0"/>
        <v>51277583.950077161</v>
      </c>
      <c r="G8" s="417">
        <f t="shared" si="0"/>
        <v>0.57383674059103895</v>
      </c>
    </row>
    <row r="9" spans="1:9" ht="13" x14ac:dyDescent="0.3">
      <c r="A9" s="75"/>
      <c r="B9" s="55"/>
      <c r="C9" s="146"/>
      <c r="D9" s="146"/>
      <c r="E9" s="55"/>
      <c r="F9" s="55"/>
      <c r="G9" s="55"/>
    </row>
    <row r="10" spans="1:9" ht="15.5" x14ac:dyDescent="0.35">
      <c r="A10" s="147" t="s">
        <v>268</v>
      </c>
      <c r="B10" s="148"/>
      <c r="C10" s="148"/>
      <c r="D10" s="148"/>
      <c r="E10" s="148"/>
      <c r="F10" s="148"/>
      <c r="G10" s="148"/>
      <c r="H10" s="148"/>
      <c r="I10" s="149"/>
    </row>
    <row r="11" spans="1:9" ht="13" x14ac:dyDescent="0.3">
      <c r="A11" s="150" t="s">
        <v>269</v>
      </c>
      <c r="B11" s="151" t="s">
        <v>270</v>
      </c>
      <c r="C11" s="151" t="s">
        <v>271</v>
      </c>
      <c r="D11" s="151" t="s">
        <v>272</v>
      </c>
      <c r="E11" s="151" t="s">
        <v>271</v>
      </c>
      <c r="F11" s="151" t="s">
        <v>273</v>
      </c>
      <c r="G11" s="151" t="s">
        <v>272</v>
      </c>
      <c r="H11" s="151"/>
      <c r="I11" s="152" t="s">
        <v>274</v>
      </c>
    </row>
    <row r="12" spans="1:9" ht="13.5" thickBot="1" x14ac:dyDescent="0.35">
      <c r="A12" s="153"/>
      <c r="B12" s="154"/>
      <c r="C12" s="154" t="s">
        <v>275</v>
      </c>
      <c r="D12" s="154" t="s">
        <v>275</v>
      </c>
      <c r="E12" s="154" t="s">
        <v>41</v>
      </c>
      <c r="F12" s="154" t="s">
        <v>276</v>
      </c>
      <c r="G12" s="154" t="s">
        <v>41</v>
      </c>
      <c r="H12" s="154" t="s">
        <v>277</v>
      </c>
      <c r="I12" s="155" t="s">
        <v>278</v>
      </c>
    </row>
    <row r="13" spans="1:9" ht="13.5" thickTop="1" thickBot="1" x14ac:dyDescent="0.3">
      <c r="A13" s="474" t="s">
        <v>700</v>
      </c>
      <c r="B13" s="475">
        <f>'Aux F-Cred'!E33</f>
        <v>8543733.333333334</v>
      </c>
      <c r="C13" s="475">
        <f>'Aux F-Cred'!F33</f>
        <v>0</v>
      </c>
      <c r="D13" s="475">
        <f>'Aux F-Cred'!G33</f>
        <v>0</v>
      </c>
      <c r="E13" s="475">
        <f>'Aux F-Cred'!H33</f>
        <v>0</v>
      </c>
      <c r="F13" s="475">
        <f>'Aux F-Cred'!I33</f>
        <v>0</v>
      </c>
      <c r="G13" s="476"/>
      <c r="H13" s="475">
        <f>'Aux F-Cred'!K33</f>
        <v>0</v>
      </c>
      <c r="I13" s="475">
        <f>'Aux F-Cred'!J33</f>
        <v>341749.33333333337</v>
      </c>
    </row>
    <row r="14" spans="1:9" ht="13.5" thickTop="1" thickBot="1" x14ac:dyDescent="0.3">
      <c r="A14" s="477" t="s">
        <v>701</v>
      </c>
      <c r="B14" s="475">
        <f>'Aux F-Cred'!E34</f>
        <v>17087466.666666664</v>
      </c>
      <c r="C14" s="475">
        <f>'Aux F-Cred'!F34</f>
        <v>0</v>
      </c>
      <c r="D14" s="475">
        <f>'Aux F-Cred'!G34</f>
        <v>619420.66666666663</v>
      </c>
      <c r="E14" s="475">
        <f>'Aux F-Cred'!H34</f>
        <v>0</v>
      </c>
      <c r="F14" s="475">
        <f>'Aux F-Cred'!I34</f>
        <v>0</v>
      </c>
      <c r="G14" s="476"/>
      <c r="H14" s="475">
        <f>'Aux F-Cred'!K34</f>
        <v>0</v>
      </c>
      <c r="I14" s="475">
        <f>'Aux F-Cred'!J34</f>
        <v>341749.33333333337</v>
      </c>
    </row>
    <row r="15" spans="1:9" ht="13.5" thickTop="1" thickBot="1" x14ac:dyDescent="0.3">
      <c r="A15" s="477" t="s">
        <v>702</v>
      </c>
      <c r="B15" s="475">
        <f>'Aux F-Cred'!E35</f>
        <v>25631200</v>
      </c>
      <c r="C15" s="475">
        <f>'Aux F-Cred'!F35</f>
        <v>0</v>
      </c>
      <c r="D15" s="475">
        <f>'Aux F-Cred'!G35</f>
        <v>1238841.3333333333</v>
      </c>
      <c r="E15" s="475">
        <f>'Aux F-Cred'!H35</f>
        <v>0</v>
      </c>
      <c r="F15" s="475">
        <f>'Aux F-Cred'!I35</f>
        <v>0</v>
      </c>
      <c r="G15" s="476"/>
      <c r="H15" s="475">
        <f>'Aux F-Cred'!K35</f>
        <v>0</v>
      </c>
      <c r="I15" s="475">
        <f>'Aux F-Cred'!J35</f>
        <v>341749.33333333337</v>
      </c>
    </row>
    <row r="16" spans="1:9" ht="13.5" thickTop="1" thickBot="1" x14ac:dyDescent="0.3">
      <c r="A16" s="477" t="s">
        <v>703</v>
      </c>
      <c r="B16" s="475">
        <f>'Aux F-Cred'!E36</f>
        <v>25631200</v>
      </c>
      <c r="C16" s="475">
        <f>'Aux F-Cred'!F36</f>
        <v>0</v>
      </c>
      <c r="D16" s="475">
        <f>'Aux F-Cred'!G36</f>
        <v>1238841.3333333333</v>
      </c>
      <c r="E16" s="475">
        <f>'Aux F-Cred'!H36</f>
        <v>0</v>
      </c>
      <c r="F16" s="475">
        <f>'Aux F-Cred'!I36</f>
        <v>0</v>
      </c>
      <c r="G16" s="476"/>
      <c r="H16" s="475">
        <f>'Aux F-Cred'!K36</f>
        <v>0</v>
      </c>
      <c r="I16" s="475">
        <f>'Aux F-Cred'!J36</f>
        <v>0</v>
      </c>
    </row>
    <row r="17" spans="1:10" ht="14" thickTop="1" thickBot="1" x14ac:dyDescent="0.35">
      <c r="A17" s="478" t="s">
        <v>279</v>
      </c>
      <c r="B17" s="479"/>
      <c r="C17" s="479"/>
      <c r="D17" s="475">
        <f>+SUM(D14:D16)</f>
        <v>3097103.333333333</v>
      </c>
      <c r="E17" s="475">
        <f>'Aux F-Cred'!H37</f>
        <v>0</v>
      </c>
      <c r="F17" s="476"/>
      <c r="G17" s="475">
        <f>'Aux F-Cred'!I37</f>
        <v>0</v>
      </c>
      <c r="H17" s="475"/>
      <c r="I17" s="475">
        <f>+SUM(I13:I16)</f>
        <v>1025248.0000000001</v>
      </c>
      <c r="J17" s="301">
        <f>D17+I17</f>
        <v>4122351.333333333</v>
      </c>
    </row>
    <row r="18" spans="1:10" ht="13" thickTop="1" x14ac:dyDescent="0.25">
      <c r="A18" s="474" t="s">
        <v>704</v>
      </c>
      <c r="B18" s="475">
        <f>'Aux F-Cred'!E38</f>
        <v>25631200</v>
      </c>
      <c r="C18" s="475"/>
      <c r="D18" s="480"/>
      <c r="E18" s="475"/>
      <c r="F18" s="481"/>
      <c r="G18" s="480"/>
      <c r="H18" s="482"/>
      <c r="I18" s="483"/>
    </row>
    <row r="19" spans="1:10" x14ac:dyDescent="0.25">
      <c r="A19" s="477" t="s">
        <v>705</v>
      </c>
      <c r="B19" s="302">
        <f>'Aux F-Cred'!E39+'Aux F-Cred Ren'!D11</f>
        <v>25733187.5</v>
      </c>
      <c r="C19" s="302"/>
      <c r="D19" s="302">
        <f>'Aux F-Cred Ren'!E11+'Aux F-Cred'!G39</f>
        <v>3722643.2499999995</v>
      </c>
      <c r="E19" s="302"/>
      <c r="F19" s="484"/>
      <c r="G19" s="302"/>
      <c r="H19" s="485"/>
      <c r="I19" s="486"/>
    </row>
    <row r="20" spans="1:10" x14ac:dyDescent="0.25">
      <c r="A20" s="487" t="s">
        <v>707</v>
      </c>
      <c r="B20" s="302">
        <f>'Aux F-Cred'!E40+'Aux F-Cred Ren'!D12</f>
        <v>25733187.5</v>
      </c>
      <c r="C20" s="302"/>
      <c r="D20" s="302">
        <f>'Aux F-Cred Ren'!E12+'Aux F-Cred'!G40</f>
        <v>3726722.7499999995</v>
      </c>
      <c r="E20" s="302"/>
      <c r="F20" s="302">
        <f>(SUM(B18:B20)/3)</f>
        <v>25699191.666666668</v>
      </c>
      <c r="G20" s="302">
        <f>+D20+D19</f>
        <v>7449365.9999999991</v>
      </c>
      <c r="H20" s="488">
        <f>G20/F20</f>
        <v>0.28986771633219327</v>
      </c>
      <c r="I20" s="486"/>
    </row>
    <row r="21" spans="1:10" x14ac:dyDescent="0.25">
      <c r="A21" s="477" t="s">
        <v>709</v>
      </c>
      <c r="B21" s="302">
        <f>'Aux F-Cred'!E41+'Aux F-Cred Ren'!D13</f>
        <v>25733187.5</v>
      </c>
      <c r="C21" s="302">
        <f>'Aux F-Cred'!F41</f>
        <v>0</v>
      </c>
      <c r="D21" s="302">
        <f>'Aux F-Cred Ren'!E13+'Aux F-Cred'!G41</f>
        <v>3726722.7499999995</v>
      </c>
      <c r="E21" s="302"/>
      <c r="F21" s="302"/>
      <c r="G21" s="302">
        <f>'Aux F-Cred Ren'!F13+'Aux F-Cred'!I41</f>
        <v>0</v>
      </c>
      <c r="H21" s="488"/>
      <c r="I21" s="486"/>
    </row>
    <row r="22" spans="1:10" x14ac:dyDescent="0.25">
      <c r="A22" s="487" t="s">
        <v>706</v>
      </c>
      <c r="B22" s="302">
        <f>'Aux F-Cred'!E42+'Aux F-Cred Ren'!D14</f>
        <v>21461320.833333332</v>
      </c>
      <c r="C22" s="302">
        <f>'Aux F-Cred'!F42</f>
        <v>4271866.666666667</v>
      </c>
      <c r="D22" s="302">
        <f>'Aux F-Cred Ren'!E14+'Aux F-Cred'!G42</f>
        <v>3726722.7499999995</v>
      </c>
      <c r="E22" s="302">
        <f>'Aux F-Cred'!H42</f>
        <v>4271866.666666667</v>
      </c>
      <c r="F22" s="302">
        <f t="shared" ref="F22:F28" si="1">(SUM(B20:B22)/3)</f>
        <v>24309231.944444444</v>
      </c>
      <c r="G22" s="302">
        <f>+D22+D21</f>
        <v>7453445.4999999991</v>
      </c>
      <c r="H22" s="488">
        <f t="shared" ref="H22:H28" si="2">G22/F22</f>
        <v>0.30660966652644023</v>
      </c>
      <c r="I22" s="486"/>
    </row>
    <row r="23" spans="1:10" x14ac:dyDescent="0.25">
      <c r="A23" s="477" t="s">
        <v>710</v>
      </c>
      <c r="B23" s="302">
        <f>'Aux F-Cred'!E43+'Aux F-Cred Ren'!D15</f>
        <v>17189454.166666664</v>
      </c>
      <c r="C23" s="302">
        <f>'Aux F-Cred'!F43</f>
        <v>4271866.666666667</v>
      </c>
      <c r="D23" s="302">
        <f>'Aux F-Cred Ren'!E15+'Aux F-Cred'!G43</f>
        <v>3107302.083333333</v>
      </c>
      <c r="E23" s="302">
        <f>'Aux F-Cred'!H43</f>
        <v>0</v>
      </c>
      <c r="F23" s="302"/>
      <c r="G23" s="302">
        <f>'Aux F-Cred Ren'!F15+'Aux F-Cred'!I43</f>
        <v>0</v>
      </c>
      <c r="H23" s="488"/>
      <c r="I23" s="486"/>
    </row>
    <row r="24" spans="1:10" x14ac:dyDescent="0.25">
      <c r="A24" s="487" t="s">
        <v>711</v>
      </c>
      <c r="B24" s="302">
        <f>'Aux F-Cred'!E44+'Aux F-Cred Ren'!D16</f>
        <v>12917587.499999996</v>
      </c>
      <c r="C24" s="302">
        <f>'Aux F-Cred'!F44</f>
        <v>4271866.666666667</v>
      </c>
      <c r="D24" s="302">
        <f>'Aux F-Cred Ren'!E16+'Aux F-Cred'!G44</f>
        <v>2487881.416666666</v>
      </c>
      <c r="E24" s="302">
        <f>'Aux F-Cred'!H44</f>
        <v>8543733.333333334</v>
      </c>
      <c r="F24" s="302">
        <f t="shared" si="1"/>
        <v>17189454.166666668</v>
      </c>
      <c r="G24" s="302">
        <f>+D24+D23</f>
        <v>5595183.4999999991</v>
      </c>
      <c r="H24" s="488">
        <f t="shared" si="2"/>
        <v>0.32550094062032697</v>
      </c>
      <c r="I24" s="486"/>
    </row>
    <row r="25" spans="1:10" x14ac:dyDescent="0.25">
      <c r="A25" s="477" t="s">
        <v>712</v>
      </c>
      <c r="B25" s="302">
        <f>'Aux F-Cred'!E45+'Aux F-Cred Ren'!D17</f>
        <v>8645720.8333333284</v>
      </c>
      <c r="C25" s="302">
        <f>'Aux F-Cred'!F45</f>
        <v>4271866.666666667</v>
      </c>
      <c r="D25" s="302">
        <f>'Aux F-Cred Ren'!E17+'Aux F-Cred'!G45</f>
        <v>1868460.7499999993</v>
      </c>
      <c r="E25" s="302">
        <f>'Aux F-Cred'!H45</f>
        <v>0</v>
      </c>
      <c r="F25" s="302"/>
      <c r="G25" s="302">
        <f>'Aux F-Cred Ren'!F17+'Aux F-Cred'!I45</f>
        <v>0</v>
      </c>
      <c r="H25" s="488"/>
      <c r="I25" s="486"/>
    </row>
    <row r="26" spans="1:10" x14ac:dyDescent="0.25">
      <c r="A26" s="487" t="s">
        <v>713</v>
      </c>
      <c r="B26" s="302">
        <f>'Aux F-Cred'!E46+'Aux F-Cred Ren'!D18</f>
        <v>4373854.1666666614</v>
      </c>
      <c r="C26" s="302">
        <f>'Aux F-Cred'!F46</f>
        <v>4271866.666666667</v>
      </c>
      <c r="D26" s="302">
        <f>'Aux F-Cred Ren'!E18+'Aux F-Cred'!G46</f>
        <v>1249040.0833333326</v>
      </c>
      <c r="E26" s="302">
        <f>'Aux F-Cred'!H46</f>
        <v>8543733.333333334</v>
      </c>
      <c r="F26" s="302">
        <f t="shared" si="1"/>
        <v>8645720.8333333284</v>
      </c>
      <c r="G26" s="302">
        <f>+D26+D25</f>
        <v>3117500.8333333321</v>
      </c>
      <c r="H26" s="488">
        <f t="shared" si="2"/>
        <v>0.3605831015632493</v>
      </c>
      <c r="I26" s="486"/>
    </row>
    <row r="27" spans="1:10" x14ac:dyDescent="0.25">
      <c r="A27" s="477" t="s">
        <v>714</v>
      </c>
      <c r="B27" s="302">
        <f>'Aux F-Cred Ren'!D19</f>
        <v>101987.5</v>
      </c>
      <c r="C27" s="302">
        <f>'Aux F-Cred'!F47</f>
        <v>4271866.666666667</v>
      </c>
      <c r="D27" s="302">
        <f>'Aux F-Cred Ren'!E19+'Aux F-Cred'!G47</f>
        <v>629619.41666666581</v>
      </c>
      <c r="E27" s="302">
        <f>'Aux F-Cred'!H47</f>
        <v>4271866.666666667</v>
      </c>
      <c r="F27" s="302"/>
      <c r="G27" s="302"/>
      <c r="H27" s="488"/>
      <c r="I27" s="486"/>
    </row>
    <row r="28" spans="1:10" x14ac:dyDescent="0.25">
      <c r="A28" s="487" t="s">
        <v>715</v>
      </c>
      <c r="B28" s="302">
        <f>'Aux F-Cred Ren'!D20</f>
        <v>101987.5</v>
      </c>
      <c r="C28" s="302">
        <v>0</v>
      </c>
      <c r="D28" s="302">
        <f>'Aux F-Cred Ren'!E20</f>
        <v>10198.75</v>
      </c>
      <c r="E28" s="302">
        <v>0</v>
      </c>
      <c r="F28" s="302">
        <f t="shared" si="1"/>
        <v>1525943.0555555539</v>
      </c>
      <c r="G28" s="302">
        <f>+D28+D27</f>
        <v>639818.16666666581</v>
      </c>
      <c r="H28" s="488">
        <f t="shared" si="2"/>
        <v>0.41929360623075518</v>
      </c>
      <c r="I28" s="486"/>
    </row>
    <row r="29" spans="1:10" ht="13.5" thickBot="1" x14ac:dyDescent="0.35">
      <c r="A29" s="83" t="s">
        <v>280</v>
      </c>
      <c r="B29" s="145"/>
      <c r="C29" s="145">
        <f>SUM(C17:C28)</f>
        <v>25631200.000000004</v>
      </c>
      <c r="D29" s="145">
        <f>SUM(D17:D28)</f>
        <v>27352417.333333325</v>
      </c>
      <c r="E29" s="145">
        <f>SUM(E17:E28)</f>
        <v>25631200.000000004</v>
      </c>
      <c r="F29" s="145">
        <f>SUM(F17:F28)</f>
        <v>77369541.666666657</v>
      </c>
      <c r="G29" s="145">
        <f>SUM(G20:G28)</f>
        <v>24255313.999999993</v>
      </c>
      <c r="H29" s="145"/>
      <c r="I29" s="156"/>
    </row>
    <row r="31" spans="1:10" x14ac:dyDescent="0.25">
      <c r="G31" s="540"/>
    </row>
    <row r="32" spans="1:10" x14ac:dyDescent="0.25">
      <c r="G32" s="293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90" zoomScaleNormal="90" workbookViewId="0">
      <selection activeCell="C10" sqref="C10"/>
    </sheetView>
  </sheetViews>
  <sheetFormatPr baseColWidth="10" defaultColWidth="11.26953125" defaultRowHeight="12.5" x14ac:dyDescent="0.25"/>
  <cols>
    <col min="1" max="1" width="34.81640625" style="157" customWidth="1"/>
    <col min="2" max="2" width="16" style="157" bestFit="1" customWidth="1"/>
    <col min="3" max="7" width="14.81640625" style="157" bestFit="1" customWidth="1"/>
    <col min="8" max="8" width="17.26953125" style="157" customWidth="1"/>
    <col min="9" max="16384" width="11.26953125" style="157"/>
  </cols>
  <sheetData>
    <row r="1" spans="1:7" ht="13" x14ac:dyDescent="0.3">
      <c r="A1" s="1" t="s">
        <v>0</v>
      </c>
      <c r="B1"/>
      <c r="C1"/>
      <c r="D1"/>
      <c r="E1" s="141"/>
      <c r="F1" s="2">
        <f>InfoInicial!E1</f>
        <v>2</v>
      </c>
    </row>
    <row r="2" spans="1:7" ht="15.5" x14ac:dyDescent="0.35">
      <c r="A2" s="158" t="s">
        <v>281</v>
      </c>
      <c r="B2" s="159"/>
      <c r="C2" s="159"/>
      <c r="D2" s="159"/>
      <c r="E2" s="159"/>
      <c r="F2" s="159"/>
      <c r="G2" s="160"/>
    </row>
    <row r="3" spans="1:7" ht="13" x14ac:dyDescent="0.3">
      <c r="A3" s="161" t="s">
        <v>94</v>
      </c>
      <c r="B3" s="162" t="s">
        <v>54</v>
      </c>
      <c r="C3" s="162" t="s">
        <v>95</v>
      </c>
      <c r="D3" s="162" t="s">
        <v>96</v>
      </c>
      <c r="E3" s="162" t="s">
        <v>97</v>
      </c>
      <c r="F3" s="163" t="s">
        <v>98</v>
      </c>
      <c r="G3" s="164" t="s">
        <v>198</v>
      </c>
    </row>
    <row r="4" spans="1:7" x14ac:dyDescent="0.25">
      <c r="A4" s="157" t="s">
        <v>282</v>
      </c>
      <c r="B4" s="385">
        <f>'E-Costos'!B88</f>
        <v>51285645</v>
      </c>
      <c r="C4" s="385">
        <f>'E-Costos'!C88</f>
        <v>63000000</v>
      </c>
      <c r="D4" s="385">
        <f>'E-Costos'!D88</f>
        <v>63000000</v>
      </c>
      <c r="E4" s="385">
        <f>'E-Costos'!E88</f>
        <v>63000000</v>
      </c>
      <c r="F4" s="385">
        <f>'E-Costos'!F88</f>
        <v>63000000</v>
      </c>
      <c r="G4" s="386">
        <f>SUM(B4:F4)</f>
        <v>303285645</v>
      </c>
    </row>
    <row r="5" spans="1:7" x14ac:dyDescent="0.25">
      <c r="A5" s="157" t="s">
        <v>283</v>
      </c>
      <c r="B5" s="385">
        <f>'E-Costos'!B107</f>
        <v>24533361.893213395</v>
      </c>
      <c r="C5" s="385">
        <f>'E-Costos'!C107</f>
        <v>27398998.449549697</v>
      </c>
      <c r="D5" s="385">
        <f>'E-Costos'!D107</f>
        <v>27377524.72821591</v>
      </c>
      <c r="E5" s="385">
        <f>'E-Costos'!E107</f>
        <v>27330804.135615181</v>
      </c>
      <c r="F5" s="385">
        <f>'E-Costos'!F107</f>
        <v>27330753.026749842</v>
      </c>
      <c r="G5" s="386">
        <f>SUM(B5:F5)</f>
        <v>133971442.23334402</v>
      </c>
    </row>
    <row r="6" spans="1:7" x14ac:dyDescent="0.25">
      <c r="A6" s="157" t="s">
        <v>284</v>
      </c>
      <c r="B6" s="385">
        <f>B4-B5</f>
        <v>26752283.106786605</v>
      </c>
      <c r="C6" s="385">
        <f>C4-C5</f>
        <v>35601001.550450303</v>
      </c>
      <c r="D6" s="385">
        <f>D4-D5</f>
        <v>35622475.27178409</v>
      </c>
      <c r="E6" s="385">
        <f>E4-E5</f>
        <v>35669195.864384815</v>
      </c>
      <c r="F6" s="385">
        <f>F4-F5</f>
        <v>35669246.973250158</v>
      </c>
      <c r="G6" s="386">
        <f t="shared" ref="G6:G13" si="0">SUM(B6:F6)</f>
        <v>169314202.76665598</v>
      </c>
    </row>
    <row r="7" spans="1:7" x14ac:dyDescent="0.25">
      <c r="A7" s="157" t="s">
        <v>120</v>
      </c>
      <c r="B7" s="85"/>
      <c r="C7" s="85"/>
      <c r="D7" s="85"/>
      <c r="E7" s="85"/>
      <c r="F7" s="112"/>
      <c r="G7" s="386"/>
    </row>
    <row r="8" spans="1:7" x14ac:dyDescent="0.25">
      <c r="A8" s="157" t="s">
        <v>285</v>
      </c>
      <c r="B8" s="296">
        <f>'E-Costos'!B130</f>
        <v>6142233.0298708398</v>
      </c>
      <c r="C8" s="296">
        <f>'E-Costos'!C130</f>
        <v>6101098.7369419355</v>
      </c>
      <c r="D8" s="296">
        <f>'E-Costos'!D130</f>
        <v>6101098.7369419355</v>
      </c>
      <c r="E8" s="296">
        <f>'E-Costos'!E130</f>
        <v>6098498.7369419355</v>
      </c>
      <c r="F8" s="296">
        <f>'E-Costos'!F130</f>
        <v>6098498.7369419355</v>
      </c>
      <c r="G8" s="386">
        <f t="shared" si="0"/>
        <v>30541427.97763858</v>
      </c>
    </row>
    <row r="9" spans="1:7" x14ac:dyDescent="0.25">
      <c r="A9" s="157" t="s">
        <v>286</v>
      </c>
      <c r="B9" s="296">
        <f>('E-Costos'!B132+'E-Costos'!B133)</f>
        <v>8522432.0491988398</v>
      </c>
      <c r="C9" s="296">
        <f>('E-Costos'!C132+'E-Costos'!C133)</f>
        <v>8881393.1369419359</v>
      </c>
      <c r="D9" s="296">
        <f>('E-Costos'!D132+'E-Costos'!D133)</f>
        <v>8881393.1369419359</v>
      </c>
      <c r="E9" s="296">
        <f>('E-Costos'!E132+'E-Costos'!E133)</f>
        <v>8878793.1369419359</v>
      </c>
      <c r="F9" s="296">
        <f>('E-Costos'!F132+'E-Costos'!F133)</f>
        <v>8878793.1369419359</v>
      </c>
      <c r="G9" s="386">
        <f t="shared" si="0"/>
        <v>44042804.59696658</v>
      </c>
    </row>
    <row r="10" spans="1:7" x14ac:dyDescent="0.25">
      <c r="A10" s="157" t="s">
        <v>287</v>
      </c>
      <c r="B10" s="489">
        <f>'F-Cred'!J17/3+'F-Cred'!G20</f>
        <v>8823483.1111111101</v>
      </c>
      <c r="C10" s="489">
        <f>'F-Cred'!J17/3+'F-Cred'!G22</f>
        <v>8827562.6111111101</v>
      </c>
      <c r="D10" s="489">
        <f>'F-Cred'!J17/3+'F-Cred'!G24</f>
        <v>6969300.6111111101</v>
      </c>
      <c r="E10" s="489">
        <f>+'F-Cred'!G26</f>
        <v>3117500.8333333321</v>
      </c>
      <c r="F10" s="489">
        <f>+'F-Cred'!G28</f>
        <v>639818.16666666581</v>
      </c>
      <c r="G10" s="386">
        <f t="shared" si="0"/>
        <v>28377665.333333325</v>
      </c>
    </row>
    <row r="11" spans="1:7" ht="13" x14ac:dyDescent="0.3">
      <c r="A11" s="165" t="s">
        <v>288</v>
      </c>
      <c r="B11" s="385">
        <f>B6-(B8+B9+B10)</f>
        <v>3264134.9166058153</v>
      </c>
      <c r="C11" s="385">
        <f>C6-(C8+C9+C10)</f>
        <v>11790947.065455321</v>
      </c>
      <c r="D11" s="385">
        <f>D6-(D8+D9+D10)</f>
        <v>13670682.786789108</v>
      </c>
      <c r="E11" s="385">
        <f>E6-(E8+E9+E10)</f>
        <v>17574403.157167614</v>
      </c>
      <c r="F11" s="385">
        <f>F6-(F8+F9+F10)</f>
        <v>20052136.932699621</v>
      </c>
      <c r="G11" s="386">
        <f t="shared" si="0"/>
        <v>66352304.858717479</v>
      </c>
    </row>
    <row r="12" spans="1:7" x14ac:dyDescent="0.25">
      <c r="A12" s="157" t="s">
        <v>289</v>
      </c>
      <c r="B12" s="296">
        <f>B11*InfoInicial!$B$5</f>
        <v>293772.14249452337</v>
      </c>
      <c r="C12" s="296">
        <f>C11*InfoInicial!$B$5</f>
        <v>1061185.2358909789</v>
      </c>
      <c r="D12" s="296">
        <f>D11*InfoInicial!$B$5</f>
        <v>1230361.4508110196</v>
      </c>
      <c r="E12" s="296">
        <f>E11*InfoInicial!$B$5</f>
        <v>1581696.2841450851</v>
      </c>
      <c r="F12" s="296">
        <f>F11*InfoInicial!$B$5</f>
        <v>1804692.3239429658</v>
      </c>
      <c r="G12" s="386">
        <f t="shared" si="0"/>
        <v>5971707.437284573</v>
      </c>
    </row>
    <row r="13" spans="1:7" x14ac:dyDescent="0.25">
      <c r="A13" s="166" t="s">
        <v>290</v>
      </c>
      <c r="B13" s="385">
        <f>(B11-B12)*InfoInicial!$B$4</f>
        <v>1039626.9709389521</v>
      </c>
      <c r="C13" s="385">
        <f>(C11-C12)*InfoInicial!$B$4</f>
        <v>3755416.6403475194</v>
      </c>
      <c r="D13" s="385">
        <f>(D11-D12)*InfoInicial!$B$4</f>
        <v>4354112.4675923306</v>
      </c>
      <c r="E13" s="385">
        <f>(E11-E12)*InfoInicial!$B$4</f>
        <v>5597447.4055578848</v>
      </c>
      <c r="F13" s="385">
        <f>(F11-F12)*InfoInicial!$B$4</f>
        <v>6386605.6130648283</v>
      </c>
      <c r="G13" s="386">
        <f t="shared" si="0"/>
        <v>21133209.097501516</v>
      </c>
    </row>
    <row r="14" spans="1:7" ht="13" x14ac:dyDescent="0.3">
      <c r="A14" s="167" t="s">
        <v>291</v>
      </c>
      <c r="B14" s="387">
        <f>B11-(B12+B13)</f>
        <v>1930735.8031723399</v>
      </c>
      <c r="C14" s="387">
        <f>C11-(C12+C13)</f>
        <v>6974345.1892168224</v>
      </c>
      <c r="D14" s="387">
        <f>D11-(D12+D13)</f>
        <v>8086208.8683857583</v>
      </c>
      <c r="E14" s="387">
        <f>E11-(E12+E13)</f>
        <v>10395259.467464644</v>
      </c>
      <c r="F14" s="387">
        <f>F11-(F12+F13)</f>
        <v>11860838.995691827</v>
      </c>
      <c r="G14" s="386">
        <f>SUM(B14:F14)</f>
        <v>39247388.323931389</v>
      </c>
    </row>
    <row r="30" spans="4:4" x14ac:dyDescent="0.25">
      <c r="D30" s="157" t="s">
        <v>716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zoomScale="90" zoomScaleNormal="90" workbookViewId="0">
      <selection activeCell="B8" sqref="B8"/>
    </sheetView>
  </sheetViews>
  <sheetFormatPr baseColWidth="10" defaultColWidth="11.26953125" defaultRowHeight="12.5" x14ac:dyDescent="0.25"/>
  <cols>
    <col min="1" max="1" width="54.26953125" style="157" customWidth="1"/>
    <col min="2" max="6" width="16" style="157" bestFit="1" customWidth="1"/>
    <col min="7" max="250" width="11.26953125" customWidth="1"/>
  </cols>
  <sheetData>
    <row r="1" spans="1:5" ht="13" x14ac:dyDescent="0.3">
      <c r="A1" s="1" t="s">
        <v>0</v>
      </c>
      <c r="B1"/>
      <c r="C1"/>
      <c r="D1">
        <f>InfoInicial!E1</f>
        <v>2</v>
      </c>
      <c r="E1" s="2"/>
    </row>
    <row r="2" spans="1:5" ht="15.5" x14ac:dyDescent="0.35">
      <c r="A2" s="158" t="s">
        <v>292</v>
      </c>
      <c r="B2" s="159"/>
      <c r="C2" s="159"/>
      <c r="D2" s="160"/>
    </row>
    <row r="3" spans="1:5" ht="13" x14ac:dyDescent="0.3">
      <c r="A3" s="161" t="s">
        <v>94</v>
      </c>
      <c r="B3" s="168" t="s">
        <v>53</v>
      </c>
      <c r="C3" s="168" t="s">
        <v>54</v>
      </c>
      <c r="D3" s="164" t="s">
        <v>198</v>
      </c>
    </row>
    <row r="4" spans="1:5" ht="13" x14ac:dyDescent="0.3">
      <c r="A4" s="165" t="s">
        <v>293</v>
      </c>
      <c r="B4" s="85"/>
      <c r="C4" s="85"/>
      <c r="D4" s="86"/>
    </row>
    <row r="5" spans="1:5" x14ac:dyDescent="0.25">
      <c r="B5" s="64"/>
      <c r="C5" s="64"/>
      <c r="D5" s="65"/>
    </row>
    <row r="6" spans="1:5" x14ac:dyDescent="0.25">
      <c r="A6" s="157" t="s">
        <v>294</v>
      </c>
      <c r="B6" s="296">
        <f>'E-Inv AF y Am'!B20+'E-Inv AF y Am'!D20</f>
        <v>54093644.799999997</v>
      </c>
      <c r="C6" s="296"/>
      <c r="D6" s="65">
        <f>SUM(B6:C6)</f>
        <v>54093644.799999997</v>
      </c>
    </row>
    <row r="7" spans="1:5" x14ac:dyDescent="0.25">
      <c r="A7" s="157" t="s">
        <v>295</v>
      </c>
      <c r="B7" s="296">
        <f>'E-Inv AF y Am'!B31</f>
        <v>162947.20000000001</v>
      </c>
      <c r="C7" s="296">
        <f>'E-Inv AF y Am'!C31</f>
        <v>150000</v>
      </c>
      <c r="D7" s="65">
        <f t="shared" ref="D7:D15" si="0">SUM(B7:C7)</f>
        <v>312947.20000000001</v>
      </c>
    </row>
    <row r="8" spans="1:5" ht="13" x14ac:dyDescent="0.3">
      <c r="A8" s="165" t="s">
        <v>296</v>
      </c>
      <c r="B8" s="296">
        <f>SUM(B6:B7)</f>
        <v>54256592</v>
      </c>
      <c r="C8" s="296">
        <f>SUM(C6:C7)</f>
        <v>150000</v>
      </c>
      <c r="D8" s="65">
        <f t="shared" si="0"/>
        <v>54406592</v>
      </c>
    </row>
    <row r="9" spans="1:5" x14ac:dyDescent="0.25">
      <c r="A9" s="166" t="s">
        <v>297</v>
      </c>
      <c r="B9" s="296">
        <f>B8*InfoInicial!$B$3</f>
        <v>11393884.32</v>
      </c>
      <c r="C9" s="296">
        <f>C8*InfoInicial!$B$3</f>
        <v>31500</v>
      </c>
      <c r="D9" s="65">
        <f t="shared" si="0"/>
        <v>11425384.32</v>
      </c>
    </row>
    <row r="10" spans="1:5" ht="13" x14ac:dyDescent="0.3">
      <c r="A10" s="165" t="s">
        <v>298</v>
      </c>
      <c r="B10" s="296">
        <f>SUM(B8:B9)</f>
        <v>65650476.32</v>
      </c>
      <c r="C10" s="296">
        <f>SUM(C8:C9)</f>
        <v>181500</v>
      </c>
      <c r="D10" s="65">
        <f t="shared" si="0"/>
        <v>65831976.32</v>
      </c>
    </row>
    <row r="11" spans="1:5" ht="13" x14ac:dyDescent="0.3">
      <c r="A11" s="165" t="s">
        <v>299</v>
      </c>
      <c r="B11" s="85"/>
      <c r="C11" s="85"/>
      <c r="D11" s="86"/>
    </row>
    <row r="12" spans="1:5" x14ac:dyDescent="0.25">
      <c r="A12" s="166" t="s">
        <v>300</v>
      </c>
      <c r="B12" s="296">
        <f>+'E-InvAT'!B6</f>
        <v>820570.32000000007</v>
      </c>
      <c r="C12" s="296">
        <f>+'E-InvAT'!C6</f>
        <v>1025712.9</v>
      </c>
      <c r="D12" s="65">
        <f t="shared" si="0"/>
        <v>1846283.2200000002</v>
      </c>
    </row>
    <row r="13" spans="1:5" x14ac:dyDescent="0.25">
      <c r="A13" s="157" t="s">
        <v>301</v>
      </c>
      <c r="B13" s="296">
        <f>+'E-InvAT'!B7</f>
        <v>0</v>
      </c>
      <c r="C13" s="296">
        <f>+'E-InvAT'!C7</f>
        <v>4215258.493150685</v>
      </c>
      <c r="D13" s="65">
        <f t="shared" si="0"/>
        <v>4215258.493150685</v>
      </c>
    </row>
    <row r="14" spans="1:5" x14ac:dyDescent="0.25">
      <c r="A14" s="157" t="s">
        <v>302</v>
      </c>
      <c r="B14" s="296">
        <f>'E-InvAT'!B9</f>
        <v>716703.97959999996</v>
      </c>
      <c r="C14" s="296">
        <f>+'E-InvAT'!C9</f>
        <v>14326970.367243664</v>
      </c>
      <c r="D14" s="65">
        <f t="shared" si="0"/>
        <v>15043674.346843664</v>
      </c>
    </row>
    <row r="15" spans="1:5" ht="13" x14ac:dyDescent="0.3">
      <c r="A15" s="165" t="s">
        <v>303</v>
      </c>
      <c r="B15" s="296">
        <f>SUM(B12:B14)</f>
        <v>1537274.2996</v>
      </c>
      <c r="C15" s="296">
        <f>SUM(C12:C14)</f>
        <v>19567941.76039435</v>
      </c>
      <c r="D15" s="65">
        <f t="shared" si="0"/>
        <v>21105216.059994351</v>
      </c>
    </row>
    <row r="16" spans="1:5" x14ac:dyDescent="0.25">
      <c r="A16" s="157" t="s">
        <v>120</v>
      </c>
      <c r="B16" s="85"/>
      <c r="C16" s="85"/>
      <c r="D16" s="86"/>
    </row>
    <row r="17" spans="1:8" x14ac:dyDescent="0.25">
      <c r="A17" s="157" t="s">
        <v>304</v>
      </c>
      <c r="B17" s="296"/>
      <c r="C17" s="296">
        <f>'E-InvAT'!C17+'E-InvAT'!C18</f>
        <v>49045.850414943961</v>
      </c>
      <c r="D17" s="65">
        <f>SUM(C17)</f>
        <v>49045.850414943961</v>
      </c>
    </row>
    <row r="18" spans="1:8" x14ac:dyDescent="0.25">
      <c r="A18" s="157" t="s">
        <v>305</v>
      </c>
      <c r="B18" s="296"/>
      <c r="C18" s="490">
        <f>+'E-Inv AF y Am'!E56+'F-Cred'!J17/33-C17*30/365</f>
        <v>2053294.9715862076</v>
      </c>
      <c r="D18" s="65">
        <f>SUM(H18)</f>
        <v>0</v>
      </c>
      <c r="H18" s="395" t="s">
        <v>631</v>
      </c>
    </row>
    <row r="19" spans="1:8" x14ac:dyDescent="0.25">
      <c r="A19" s="157" t="s">
        <v>306</v>
      </c>
      <c r="B19" s="296"/>
      <c r="C19" s="491">
        <f>'F-CRes'!B14/'E-Costos'!B88*'F-2 Estructura'!C13</f>
        <v>158690.61395937038</v>
      </c>
      <c r="D19" s="65">
        <f>SUM(C19)</f>
        <v>158690.61395937038</v>
      </c>
    </row>
    <row r="20" spans="1:8" ht="13" x14ac:dyDescent="0.3">
      <c r="A20" s="165" t="s">
        <v>307</v>
      </c>
      <c r="B20" s="296">
        <f>B15-(B17+B18+B19)</f>
        <v>1537274.2996</v>
      </c>
      <c r="C20" s="296">
        <f>C15-(C17+C18+C19)</f>
        <v>17306910.324433826</v>
      </c>
      <c r="D20" s="65">
        <f>SUM(B20:C20)</f>
        <v>18844184.624033827</v>
      </c>
    </row>
    <row r="21" spans="1:8" x14ac:dyDescent="0.25">
      <c r="A21" s="157" t="s">
        <v>256</v>
      </c>
      <c r="B21" s="296">
        <f>'E-InvAT'!B34</f>
        <v>150507.835716</v>
      </c>
      <c r="C21" s="296">
        <f>'E-InvAT'!C34</f>
        <v>2783521.5208146381</v>
      </c>
      <c r="D21" s="65">
        <f>SUM(B21:C21)</f>
        <v>2934029.3565306379</v>
      </c>
    </row>
    <row r="22" spans="1:8" ht="13" x14ac:dyDescent="0.3">
      <c r="A22" s="165" t="s">
        <v>308</v>
      </c>
      <c r="B22" s="296">
        <f>B15+B21</f>
        <v>1687782.1353160001</v>
      </c>
      <c r="C22" s="296">
        <f>C15+C21</f>
        <v>22351463.281208988</v>
      </c>
      <c r="D22" s="65">
        <f>SUM(B22:C22)</f>
        <v>24039245.416524988</v>
      </c>
    </row>
    <row r="23" spans="1:8" ht="13" x14ac:dyDescent="0.3">
      <c r="A23" s="165" t="s">
        <v>309</v>
      </c>
      <c r="B23" s="296">
        <f>B20+B21</f>
        <v>1687782.1353160001</v>
      </c>
      <c r="C23" s="296">
        <f>C20+C21</f>
        <v>20090431.845248464</v>
      </c>
      <c r="D23" s="65">
        <f>SUM(B23:C23)</f>
        <v>21778213.980564464</v>
      </c>
    </row>
    <row r="24" spans="1:8" ht="13" x14ac:dyDescent="0.3">
      <c r="A24" s="165" t="s">
        <v>310</v>
      </c>
      <c r="B24" s="85"/>
      <c r="C24" s="85"/>
      <c r="D24" s="86"/>
    </row>
    <row r="25" spans="1:8" x14ac:dyDescent="0.25">
      <c r="A25" s="157" t="s">
        <v>311</v>
      </c>
      <c r="B25" s="296">
        <f>B10</f>
        <v>65650476.32</v>
      </c>
      <c r="C25" s="296">
        <f>C10</f>
        <v>181500</v>
      </c>
      <c r="D25" s="65">
        <f>SUM(B25:C25)</f>
        <v>65831976.32</v>
      </c>
    </row>
    <row r="26" spans="1:8" x14ac:dyDescent="0.25">
      <c r="A26" s="157" t="s">
        <v>312</v>
      </c>
      <c r="B26" s="296">
        <f>B23</f>
        <v>1687782.1353160001</v>
      </c>
      <c r="C26" s="296">
        <f>C23</f>
        <v>20090431.845248464</v>
      </c>
      <c r="D26" s="65">
        <f>SUM(B26:C26)</f>
        <v>21778213.980564464</v>
      </c>
    </row>
    <row r="27" spans="1:8" ht="13" x14ac:dyDescent="0.3">
      <c r="A27" s="165" t="s">
        <v>313</v>
      </c>
      <c r="B27" s="296">
        <f>SUM(B25:B26)</f>
        <v>67338258.455316007</v>
      </c>
      <c r="C27" s="296">
        <f>SUM(C25:C26)</f>
        <v>20271931.845248464</v>
      </c>
      <c r="D27" s="65">
        <f>SUM(B27:C27)</f>
        <v>87610190.300564468</v>
      </c>
      <c r="E27" s="169"/>
    </row>
    <row r="28" spans="1:8" ht="13" x14ac:dyDescent="0.3">
      <c r="A28" s="165" t="s">
        <v>314</v>
      </c>
      <c r="B28" s="85"/>
      <c r="C28" s="85"/>
      <c r="D28" s="112"/>
      <c r="E28" s="170" t="s">
        <v>315</v>
      </c>
    </row>
    <row r="29" spans="1:8" ht="13" x14ac:dyDescent="0.3">
      <c r="A29" s="165" t="s">
        <v>316</v>
      </c>
      <c r="B29" s="302">
        <v>0</v>
      </c>
      <c r="C29" s="302">
        <f>'F-Cred'!D6</f>
        <v>101987.5</v>
      </c>
      <c r="D29" s="111">
        <f>SUM(C29)</f>
        <v>101987.5</v>
      </c>
      <c r="E29" s="88">
        <f>D29/$D$32</f>
        <v>1.164105449949501E-3</v>
      </c>
    </row>
    <row r="30" spans="1:8" ht="13" x14ac:dyDescent="0.3">
      <c r="A30" s="165" t="s">
        <v>317</v>
      </c>
      <c r="B30" s="302">
        <f>'F-Cred'!D5</f>
        <v>37979614.399999999</v>
      </c>
      <c r="C30" s="302">
        <v>0</v>
      </c>
      <c r="D30" s="111">
        <f>SUM(B30:C30)</f>
        <v>37979614.399999999</v>
      </c>
      <c r="E30" s="88">
        <f>D30/$D$32</f>
        <v>0.43350681318809209</v>
      </c>
    </row>
    <row r="31" spans="1:8" ht="13" x14ac:dyDescent="0.3">
      <c r="A31" s="165" t="s">
        <v>318</v>
      </c>
      <c r="B31" s="296">
        <f>B27-B30</f>
        <v>29358644.055316009</v>
      </c>
      <c r="C31" s="296">
        <f>C27-C29-C30</f>
        <v>20169944.345248464</v>
      </c>
      <c r="D31" s="111">
        <f>SUM(B31:C31)</f>
        <v>49528588.400564477</v>
      </c>
      <c r="E31" s="88">
        <f>D31/$D$32</f>
        <v>0.56532908136195847</v>
      </c>
    </row>
    <row r="32" spans="1:8" ht="13" x14ac:dyDescent="0.3">
      <c r="A32" s="167" t="s">
        <v>198</v>
      </c>
      <c r="B32" s="70">
        <f>SUM(B29:B31)</f>
        <v>67338258.455316007</v>
      </c>
      <c r="C32" s="70">
        <f>SUM(C29:C31)</f>
        <v>20271931.845248464</v>
      </c>
      <c r="D32" s="113">
        <f>SUM(B32:C32)</f>
        <v>87610190.300564468</v>
      </c>
      <c r="E32" s="88">
        <f>D32/$D$32</f>
        <v>1</v>
      </c>
    </row>
    <row r="34" spans="1:7" ht="15.5" x14ac:dyDescent="0.35">
      <c r="A34" s="158" t="s">
        <v>319</v>
      </c>
      <c r="B34" s="159"/>
      <c r="C34" s="159"/>
      <c r="D34" s="159"/>
      <c r="E34" s="159"/>
      <c r="F34" s="159"/>
    </row>
    <row r="35" spans="1:7" ht="13" x14ac:dyDescent="0.3">
      <c r="A35" s="161" t="s">
        <v>94</v>
      </c>
      <c r="B35" s="162" t="s">
        <v>54</v>
      </c>
      <c r="C35" s="162" t="s">
        <v>95</v>
      </c>
      <c r="D35" s="162" t="s">
        <v>96</v>
      </c>
      <c r="E35" s="162" t="s">
        <v>97</v>
      </c>
      <c r="F35" s="162" t="s">
        <v>98</v>
      </c>
    </row>
    <row r="36" spans="1:7" ht="13" x14ac:dyDescent="0.3">
      <c r="A36" s="171" t="s">
        <v>160</v>
      </c>
      <c r="B36" s="275">
        <f>'E-IVA '!C17*'E-Costos'!B47</f>
        <v>2632545.795653997</v>
      </c>
      <c r="C36" s="275">
        <f>'E-IVA '!D17*'E-Costos'!C47</f>
        <v>3150956.4423617339</v>
      </c>
      <c r="D36" s="275">
        <f>'E-IVA '!E17*'E-Costos'!D47</f>
        <v>3152993.7398288101</v>
      </c>
      <c r="E36" s="275">
        <f>'E-IVA '!F17*'E-Costos'!E47</f>
        <v>3158312.6530645057</v>
      </c>
      <c r="F36" s="275">
        <f>'E-IVA '!G17*'E-Costos'!F47</f>
        <v>3158312.6530645057</v>
      </c>
    </row>
    <row r="37" spans="1:7" ht="13" x14ac:dyDescent="0.3">
      <c r="A37" s="172" t="s">
        <v>159</v>
      </c>
      <c r="B37" s="275">
        <f>'E-IVA '!C17*'E-Costos'!B46</f>
        <v>241773.06789958142</v>
      </c>
      <c r="C37" s="275">
        <f>'E-IVA '!D17*'E-Costos'!C46</f>
        <v>332305.0729546448</v>
      </c>
      <c r="D37" s="275">
        <f>'E-IVA '!E17*'E-Costos'!D46</f>
        <v>332519.92971189012</v>
      </c>
      <c r="E37" s="275">
        <f>'E-IVA '!F17*'E-Costos'!E46</f>
        <v>327201.01647619391</v>
      </c>
      <c r="F37" s="275">
        <f>'E-IVA '!G17*'E-Costos'!F46</f>
        <v>327201.01647619391</v>
      </c>
    </row>
    <row r="38" spans="1:7" ht="13" x14ac:dyDescent="0.3">
      <c r="A38" s="171" t="s">
        <v>162</v>
      </c>
      <c r="B38" s="275">
        <f>+'E-IVA '!C18*'E-Costos'!B64</f>
        <v>0</v>
      </c>
      <c r="C38" s="275">
        <f>+'E-IVA '!D18*'E-Costos'!C64</f>
        <v>0</v>
      </c>
      <c r="D38" s="275">
        <f>+'E-IVA '!E18*'E-Costos'!D64</f>
        <v>0</v>
      </c>
      <c r="E38" s="275">
        <f>+'E-IVA '!F18*'E-Costos'!E64</f>
        <v>0</v>
      </c>
      <c r="F38" s="275">
        <f>+'E-IVA '!G18*'E-Costos'!F64</f>
        <v>0</v>
      </c>
    </row>
    <row r="39" spans="1:7" ht="13" x14ac:dyDescent="0.3">
      <c r="A39" s="172" t="s">
        <v>161</v>
      </c>
      <c r="B39" s="275">
        <f>+'E-IVA '!C18*'E-Costos'!B63</f>
        <v>166948.4413700733</v>
      </c>
      <c r="C39" s="275">
        <f>+'E-IVA '!D18*'E-Costos'!C63</f>
        <v>158642.478374814</v>
      </c>
      <c r="D39" s="275">
        <f>+'E-IVA '!E18*'E-Costos'!D63</f>
        <v>158642.478374814</v>
      </c>
      <c r="E39" s="275">
        <f>+'E-IVA '!F18*'E-Costos'!E63</f>
        <v>158642.478374814</v>
      </c>
      <c r="F39" s="275">
        <f>+'E-IVA '!G18*'E-Costos'!F63</f>
        <v>158642.478374814</v>
      </c>
    </row>
    <row r="40" spans="1:7" ht="13" x14ac:dyDescent="0.3">
      <c r="A40" s="171" t="s">
        <v>164</v>
      </c>
      <c r="B40" s="275">
        <f>+'E-IVA '!C19*'E-Costos'!B81</f>
        <v>9625.7403938331772</v>
      </c>
      <c r="C40" s="275">
        <f>+'E-IVA '!D19*'E-Costos'!C81</f>
        <v>11128.03646529775</v>
      </c>
      <c r="D40" s="275">
        <f>+'E-IVA '!E19*'E-Costos'!D81</f>
        <v>11128.03646529775</v>
      </c>
      <c r="E40" s="275">
        <f>+'E-IVA '!F19*'E-Costos'!E81</f>
        <v>11128.347148388175</v>
      </c>
      <c r="F40" s="275">
        <f>+'E-IVA '!G19*'E-Costos'!F81</f>
        <v>11128.347148388175</v>
      </c>
    </row>
    <row r="41" spans="1:7" ht="13" x14ac:dyDescent="0.3">
      <c r="A41" s="172" t="s">
        <v>163</v>
      </c>
      <c r="B41" s="275">
        <f>+'E-IVA '!C19*'E-Costos'!B80</f>
        <v>441379.81064824009</v>
      </c>
      <c r="C41" s="275">
        <f>+'E-IVA '!D19*'E-Costos'!C80</f>
        <v>512360.04190951621</v>
      </c>
      <c r="D41" s="275">
        <f>+'E-IVA '!E19*'E-Costos'!D80</f>
        <v>512360.04190951621</v>
      </c>
      <c r="E41" s="275">
        <f>+'E-IVA '!F19*'E-Costos'!E80</f>
        <v>512359.73122642579</v>
      </c>
      <c r="F41" s="275">
        <f>+'E-IVA '!G19*'E-Costos'!F80</f>
        <v>512359.73122642579</v>
      </c>
    </row>
    <row r="42" spans="1:7" ht="13" x14ac:dyDescent="0.3">
      <c r="A42" s="172" t="s">
        <v>320</v>
      </c>
      <c r="B42" s="418">
        <f>'F-CRes'!B10</f>
        <v>8823483.1111111101</v>
      </c>
      <c r="C42" s="418">
        <f>'F-CRes'!C10</f>
        <v>8827562.6111111101</v>
      </c>
      <c r="D42" s="418">
        <f>'F-CRes'!D10</f>
        <v>6969300.6111111101</v>
      </c>
      <c r="E42" s="418">
        <f>'F-CRes'!E10</f>
        <v>3117500.8333333321</v>
      </c>
      <c r="F42" s="418">
        <f>'F-CRes'!F10</f>
        <v>639818.16666666581</v>
      </c>
      <c r="G42" t="s">
        <v>719</v>
      </c>
    </row>
    <row r="43" spans="1:7" ht="13" x14ac:dyDescent="0.3">
      <c r="A43" s="171" t="s">
        <v>165</v>
      </c>
      <c r="B43" s="275">
        <f>'F-CRes'!B4-(B36+B38+B40)</f>
        <v>48643473.463952169</v>
      </c>
      <c r="C43" s="275">
        <f>'F-CRes'!C4-(C36+C38+C40)</f>
        <v>59837915.521172971</v>
      </c>
      <c r="D43" s="275">
        <f>'F-CRes'!D4-(D36+D38+D40)</f>
        <v>59835878.223705895</v>
      </c>
      <c r="E43" s="275">
        <f>'F-CRes'!E4-(E36+E38+E40)</f>
        <v>59830558.999787107</v>
      </c>
      <c r="F43" s="275">
        <f>'F-CRes'!F4-(F36+F38+F40)</f>
        <v>59830558.999787107</v>
      </c>
    </row>
    <row r="44" spans="1:7" ht="13" x14ac:dyDescent="0.3">
      <c r="A44" s="173" t="s">
        <v>166</v>
      </c>
      <c r="B44" s="388">
        <f>(B37+B39+B42+B41)/B43*10</f>
        <v>1.9886705743161475</v>
      </c>
      <c r="C44" s="388">
        <f>(C37+C39+C42+C41)/C43*10</f>
        <v>1.6429165552853429</v>
      </c>
      <c r="D44" s="388">
        <f>(D37+D39+D42+D41)/D43*10</f>
        <v>1.3324485739642142</v>
      </c>
      <c r="E44" s="388">
        <f>(E37+E39+E42+E41)/E43*10</f>
        <v>0.68789329871135085</v>
      </c>
      <c r="F44" s="388">
        <f>(F37+F39+F42+F41)/F43*10</f>
        <v>0.27377671546574184</v>
      </c>
    </row>
    <row r="45" spans="1:7" ht="15.5" x14ac:dyDescent="0.35">
      <c r="A45" s="174" t="s">
        <v>321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C9" sqref="C9"/>
    </sheetView>
  </sheetViews>
  <sheetFormatPr baseColWidth="10" defaultColWidth="11.26953125" defaultRowHeight="12.5" x14ac:dyDescent="0.25"/>
  <cols>
    <col min="1" max="1" width="42.81640625" style="157" customWidth="1"/>
    <col min="2" max="2" width="19.26953125" style="157" customWidth="1"/>
    <col min="3" max="7" width="16" style="157" bestFit="1" customWidth="1"/>
    <col min="8" max="8" width="17.26953125" style="157" customWidth="1"/>
    <col min="9" max="16384" width="11.26953125" style="157"/>
  </cols>
  <sheetData>
    <row r="1" spans="1:7" ht="13" x14ac:dyDescent="0.3">
      <c r="A1" s="1" t="s">
        <v>0</v>
      </c>
      <c r="B1"/>
      <c r="C1"/>
      <c r="D1"/>
      <c r="E1" s="2">
        <f>InfoInicial!E1</f>
        <v>2</v>
      </c>
    </row>
    <row r="2" spans="1:7" ht="15.5" x14ac:dyDescent="0.35">
      <c r="A2" s="158" t="s">
        <v>217</v>
      </c>
      <c r="B2" s="159"/>
      <c r="C2" s="159"/>
      <c r="D2" s="159"/>
      <c r="E2" s="159"/>
      <c r="F2" s="159"/>
      <c r="G2" s="160"/>
    </row>
    <row r="3" spans="1:7" ht="15.5" x14ac:dyDescent="0.35">
      <c r="A3" s="175"/>
      <c r="B3" s="176" t="s">
        <v>218</v>
      </c>
      <c r="C3" s="176"/>
      <c r="D3" s="176"/>
      <c r="E3" s="176"/>
      <c r="F3" s="176"/>
      <c r="G3" s="177"/>
    </row>
    <row r="4" spans="1:7" ht="13" x14ac:dyDescent="0.3">
      <c r="A4" s="178" t="s">
        <v>94</v>
      </c>
      <c r="B4" s="179" t="s">
        <v>53</v>
      </c>
      <c r="C4" s="162" t="s">
        <v>54</v>
      </c>
      <c r="D4" s="162" t="s">
        <v>95</v>
      </c>
      <c r="E4" s="162" t="s">
        <v>96</v>
      </c>
      <c r="F4" s="162" t="s">
        <v>97</v>
      </c>
      <c r="G4" s="164" t="s">
        <v>98</v>
      </c>
    </row>
    <row r="5" spans="1:7" ht="13" x14ac:dyDescent="0.3">
      <c r="A5" s="180" t="s">
        <v>322</v>
      </c>
      <c r="B5" s="120"/>
      <c r="C5" s="103"/>
      <c r="D5" s="103"/>
      <c r="E5" s="103"/>
      <c r="F5" s="103"/>
      <c r="G5" s="104"/>
    </row>
    <row r="6" spans="1:7" x14ac:dyDescent="0.25">
      <c r="A6" s="181" t="s">
        <v>323</v>
      </c>
      <c r="B6" s="122">
        <f>'E-IVA '!B17</f>
        <v>0</v>
      </c>
      <c r="C6" s="122">
        <f>'E-IVA '!C17</f>
        <v>2874318.8635535785</v>
      </c>
      <c r="D6" s="122">
        <f>'E-IVA '!D17</f>
        <v>3483261.5153163779</v>
      </c>
      <c r="E6" s="122">
        <f>'E-IVA '!E17</f>
        <v>3485513.6695406996</v>
      </c>
      <c r="F6" s="122">
        <f>'E-IVA '!F17</f>
        <v>3485513.6695406996</v>
      </c>
      <c r="G6" s="122">
        <f>'E-IVA '!G17</f>
        <v>3485513.6695406996</v>
      </c>
    </row>
    <row r="7" spans="1:7" x14ac:dyDescent="0.25">
      <c r="A7" s="181" t="s">
        <v>324</v>
      </c>
      <c r="B7" s="122">
        <f>'E-IVA '!B18</f>
        <v>0</v>
      </c>
      <c r="C7" s="122">
        <f>'E-IVA '!C18</f>
        <v>166948.4413700733</v>
      </c>
      <c r="D7" s="122">
        <f>'E-IVA '!D18</f>
        <v>158642.478374814</v>
      </c>
      <c r="E7" s="122">
        <f>'E-IVA '!E18</f>
        <v>158642.478374814</v>
      </c>
      <c r="F7" s="122">
        <f>'E-IVA '!F18</f>
        <v>158642.478374814</v>
      </c>
      <c r="G7" s="122">
        <f>'E-IVA '!G18</f>
        <v>158642.478374814</v>
      </c>
    </row>
    <row r="8" spans="1:7" x14ac:dyDescent="0.25">
      <c r="A8" s="182" t="s">
        <v>325</v>
      </c>
      <c r="B8" s="122">
        <f>'E-IVA '!B19</f>
        <v>0</v>
      </c>
      <c r="C8" s="122">
        <f>'E-IVA '!C19</f>
        <v>451005.55104207329</v>
      </c>
      <c r="D8" s="122">
        <f>'E-IVA '!D19</f>
        <v>523488.07837481401</v>
      </c>
      <c r="E8" s="122">
        <f>'E-IVA '!E19</f>
        <v>523488.07837481401</v>
      </c>
      <c r="F8" s="122">
        <f>'E-IVA '!F19</f>
        <v>523488.07837481401</v>
      </c>
      <c r="G8" s="122">
        <f>'E-IVA '!G19</f>
        <v>523488.07837481401</v>
      </c>
    </row>
    <row r="9" spans="1:7" x14ac:dyDescent="0.25">
      <c r="A9" s="182" t="s">
        <v>326</v>
      </c>
      <c r="B9" s="122">
        <v>0</v>
      </c>
      <c r="C9" s="390">
        <f>('F-Cred'!F20)*InfoInicial!$B$3</f>
        <v>5396830.25</v>
      </c>
      <c r="D9" s="390">
        <f>('F-Cred'!F22)*InfoInicial!$B$3</f>
        <v>5104938.708333333</v>
      </c>
      <c r="E9" s="396">
        <f>+('F-Cred'!F24)*InfoInicial!$B$3</f>
        <v>3609785.375</v>
      </c>
      <c r="F9" s="390">
        <f>+('F-Cred'!F26)*InfoInicial!$B$3</f>
        <v>1815601.3749999988</v>
      </c>
      <c r="G9" s="391">
        <f>+('F-Cred'!F28)*InfoInicial!$B$3</f>
        <v>320448.04166666628</v>
      </c>
    </row>
    <row r="10" spans="1:7" ht="13" x14ac:dyDescent="0.3">
      <c r="A10" s="183" t="s">
        <v>327</v>
      </c>
      <c r="B10" s="122">
        <f t="shared" ref="B10:G10" si="0">SUM(B6:B9)</f>
        <v>0</v>
      </c>
      <c r="C10" s="296">
        <f t="shared" si="0"/>
        <v>8889103.1059657261</v>
      </c>
      <c r="D10" s="296">
        <f t="shared" si="0"/>
        <v>9270330.7803993393</v>
      </c>
      <c r="E10" s="296">
        <f t="shared" si="0"/>
        <v>7777429.6012903275</v>
      </c>
      <c r="F10" s="296">
        <f t="shared" si="0"/>
        <v>5983245.6012903266</v>
      </c>
      <c r="G10" s="296">
        <f t="shared" si="0"/>
        <v>4488092.2679569935</v>
      </c>
    </row>
    <row r="11" spans="1:7" ht="13" x14ac:dyDescent="0.3">
      <c r="A11" s="183"/>
      <c r="B11" s="124"/>
      <c r="C11" s="85"/>
      <c r="D11" s="85"/>
      <c r="E11" s="85"/>
      <c r="F11" s="85"/>
      <c r="G11" s="86"/>
    </row>
    <row r="12" spans="1:7" x14ac:dyDescent="0.25">
      <c r="A12" s="181" t="s">
        <v>229</v>
      </c>
      <c r="B12" s="122">
        <f t="shared" ref="B12:G12" si="1">B10</f>
        <v>0</v>
      </c>
      <c r="C12" s="122">
        <f t="shared" si="1"/>
        <v>8889103.1059657261</v>
      </c>
      <c r="D12" s="122">
        <f t="shared" si="1"/>
        <v>9270330.7803993393</v>
      </c>
      <c r="E12" s="122">
        <f t="shared" si="1"/>
        <v>7777429.6012903275</v>
      </c>
      <c r="F12" s="122">
        <f t="shared" si="1"/>
        <v>5983245.6012903266</v>
      </c>
      <c r="G12" s="122">
        <f t="shared" si="1"/>
        <v>4488092.2679569935</v>
      </c>
    </row>
    <row r="13" spans="1:7" x14ac:dyDescent="0.25">
      <c r="A13" s="181" t="s">
        <v>230</v>
      </c>
      <c r="B13" s="122">
        <f>'E-IVA '!B22</f>
        <v>0</v>
      </c>
      <c r="C13" s="122">
        <f>'E-IVA '!C22</f>
        <v>10769985.449999999</v>
      </c>
      <c r="D13" s="122">
        <f>'E-IVA '!D22</f>
        <v>13230000</v>
      </c>
      <c r="E13" s="122">
        <f>'E-IVA '!E22</f>
        <v>13230000</v>
      </c>
      <c r="F13" s="122">
        <f>'E-IVA '!F22</f>
        <v>13230000</v>
      </c>
      <c r="G13" s="122">
        <f>'E-IVA '!G22</f>
        <v>13230000</v>
      </c>
    </row>
    <row r="14" spans="1:7" ht="13" x14ac:dyDescent="0.3">
      <c r="A14" s="183" t="s">
        <v>328</v>
      </c>
      <c r="B14" s="122">
        <f t="shared" ref="B14:G14" si="2">B13-B12</f>
        <v>0</v>
      </c>
      <c r="C14" s="122">
        <f t="shared" si="2"/>
        <v>1880882.3440342732</v>
      </c>
      <c r="D14" s="122">
        <f t="shared" si="2"/>
        <v>3959669.2196006607</v>
      </c>
      <c r="E14" s="122">
        <f t="shared" si="2"/>
        <v>5452570.3987096725</v>
      </c>
      <c r="F14" s="122">
        <f t="shared" si="2"/>
        <v>7246754.3987096734</v>
      </c>
      <c r="G14" s="122">
        <f t="shared" si="2"/>
        <v>8741907.7320430055</v>
      </c>
    </row>
    <row r="15" spans="1:7" x14ac:dyDescent="0.25">
      <c r="A15" s="181"/>
      <c r="B15" s="124"/>
      <c r="C15" s="85"/>
      <c r="D15" s="85"/>
      <c r="E15" s="85"/>
      <c r="F15" s="85"/>
      <c r="G15" s="86"/>
    </row>
    <row r="16" spans="1:7" ht="13" x14ac:dyDescent="0.3">
      <c r="A16" s="184" t="s">
        <v>329</v>
      </c>
      <c r="B16" s="122">
        <f>0</f>
        <v>0</v>
      </c>
      <c r="C16" s="296">
        <f>B18</f>
        <v>11544392.155716</v>
      </c>
      <c r="D16" s="296">
        <f>C18</f>
        <v>12478531.332496366</v>
      </c>
      <c r="E16" s="296">
        <f>D18</f>
        <v>9270078.9281164277</v>
      </c>
      <c r="F16" s="296">
        <f>E18</f>
        <v>3817515.1016677404</v>
      </c>
      <c r="G16" s="296">
        <f>F18</f>
        <v>0</v>
      </c>
    </row>
    <row r="17" spans="1:7" ht="13" x14ac:dyDescent="0.3">
      <c r="A17" s="184" t="s">
        <v>330</v>
      </c>
      <c r="B17" s="122">
        <f>'F-2 Estructura'!B9+'F-2 Estructura'!B21</f>
        <v>11544392.155716</v>
      </c>
      <c r="C17" s="122">
        <f>'F-2 Estructura'!C9+'F-2 Estructura'!C21</f>
        <v>2815021.5208146381</v>
      </c>
      <c r="D17" s="296">
        <f>'E-IVA '!D26</f>
        <v>751216.81522072363</v>
      </c>
      <c r="E17" s="296">
        <f>'E-IVA '!E26</f>
        <v>6.5722609858700887</v>
      </c>
      <c r="F17" s="296">
        <f>'E-IVA '!F26</f>
        <v>-158.2346528607988</v>
      </c>
      <c r="G17" s="296">
        <f>'E-IVA '!G26</f>
        <v>0.62956886081316044</v>
      </c>
    </row>
    <row r="18" spans="1:7" ht="13" x14ac:dyDescent="0.3">
      <c r="A18" s="183" t="s">
        <v>331</v>
      </c>
      <c r="B18" s="122">
        <f>B17-B16</f>
        <v>11544392.155716</v>
      </c>
      <c r="C18" s="389">
        <f>IF(C17+C16-C14&lt;0,0,C17+C16-C14)</f>
        <v>12478531.332496366</v>
      </c>
      <c r="D18" s="389">
        <f>IF(D17+D16-D14&lt;0,0,D17+D16-D14)</f>
        <v>9270078.9281164277</v>
      </c>
      <c r="E18" s="389">
        <f>IF(E17+E16-E14&lt;0,0,E17+E16-E14)</f>
        <v>3817515.1016677404</v>
      </c>
      <c r="F18" s="389">
        <f>IF(F17+F16-F14&lt;0,0,F17+F16-F14)</f>
        <v>0</v>
      </c>
      <c r="G18" s="389">
        <f>IF(G17+G16-G14&lt;0,0,G17+G16-G14)</f>
        <v>0</v>
      </c>
    </row>
    <row r="19" spans="1:7" ht="13" x14ac:dyDescent="0.3">
      <c r="A19" s="183" t="s">
        <v>332</v>
      </c>
      <c r="B19" s="122">
        <f>0</f>
        <v>0</v>
      </c>
      <c r="C19" s="296">
        <f>C16+C17-C18</f>
        <v>1880882.3440342732</v>
      </c>
      <c r="D19" s="296">
        <f>D16+D17-D18</f>
        <v>3959669.2196006607</v>
      </c>
      <c r="E19" s="296">
        <f>E16+E17-E18</f>
        <v>5452570.3987096725</v>
      </c>
      <c r="F19" s="296">
        <f>F16+F17-F18</f>
        <v>3817356.8670148794</v>
      </c>
      <c r="G19" s="296">
        <f>G16+G17-G18</f>
        <v>0.62956886081316044</v>
      </c>
    </row>
    <row r="20" spans="1:7" x14ac:dyDescent="0.25">
      <c r="A20" s="181"/>
      <c r="B20" s="124"/>
      <c r="C20" s="85"/>
      <c r="D20" s="85"/>
      <c r="E20" s="85"/>
      <c r="F20" s="85"/>
      <c r="G20" s="86"/>
    </row>
    <row r="21" spans="1:7" ht="13" x14ac:dyDescent="0.3">
      <c r="A21" s="185" t="s">
        <v>236</v>
      </c>
      <c r="B21" s="127">
        <f t="shared" ref="B21:G21" si="3">B14-B19</f>
        <v>0</v>
      </c>
      <c r="C21" s="70">
        <f>C14-C19</f>
        <v>0</v>
      </c>
      <c r="D21" s="70">
        <f t="shared" si="3"/>
        <v>0</v>
      </c>
      <c r="E21" s="70">
        <f t="shared" si="3"/>
        <v>0</v>
      </c>
      <c r="F21" s="70">
        <f t="shared" si="3"/>
        <v>3429397.5316947941</v>
      </c>
      <c r="G21" s="70">
        <f t="shared" si="3"/>
        <v>8741907.1024741456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topLeftCell="A4" zoomScale="90" zoomScaleNormal="90" workbookViewId="0">
      <selection activeCell="B18" sqref="B18:I28"/>
    </sheetView>
  </sheetViews>
  <sheetFormatPr baseColWidth="10" defaultColWidth="11.26953125" defaultRowHeight="12.5" x14ac:dyDescent="0.25"/>
  <cols>
    <col min="1" max="1" width="40.81640625" style="186" customWidth="1"/>
    <col min="2" max="2" width="16.7265625" style="186" customWidth="1"/>
    <col min="3" max="3" width="17.81640625" style="186" bestFit="1" customWidth="1"/>
    <col min="4" max="4" width="18.7265625" style="186" customWidth="1"/>
    <col min="5" max="7" width="17.1796875" style="186" bestFit="1" customWidth="1"/>
    <col min="8" max="8" width="21.7265625" style="186" customWidth="1"/>
    <col min="9" max="9" width="17.26953125" style="186" customWidth="1"/>
    <col min="10" max="16384" width="11.26953125" style="186"/>
  </cols>
  <sheetData>
    <row r="1" spans="1:9" ht="13" x14ac:dyDescent="0.3">
      <c r="A1" s="1" t="s">
        <v>0</v>
      </c>
      <c r="B1"/>
      <c r="C1"/>
      <c r="D1"/>
      <c r="E1" s="2">
        <f>InfoInicial!E1</f>
        <v>2</v>
      </c>
    </row>
    <row r="3" spans="1:9" ht="15.5" x14ac:dyDescent="0.35">
      <c r="A3" s="187" t="s">
        <v>333</v>
      </c>
      <c r="B3" s="188"/>
      <c r="C3" s="188"/>
      <c r="D3" s="188"/>
      <c r="E3" s="188"/>
      <c r="F3" s="188"/>
      <c r="G3" s="189"/>
      <c r="H3" s="190"/>
    </row>
    <row r="4" spans="1:9" ht="13" x14ac:dyDescent="0.3">
      <c r="A4" s="191"/>
      <c r="B4" s="192" t="s">
        <v>53</v>
      </c>
      <c r="C4" s="192" t="s">
        <v>54</v>
      </c>
      <c r="D4" s="192" t="s">
        <v>95</v>
      </c>
      <c r="E4" s="192" t="s">
        <v>96</v>
      </c>
      <c r="F4" s="192" t="s">
        <v>97</v>
      </c>
      <c r="G4" s="193" t="s">
        <v>98</v>
      </c>
      <c r="H4" s="194" t="s">
        <v>198</v>
      </c>
    </row>
    <row r="5" spans="1:9" ht="13" x14ac:dyDescent="0.3">
      <c r="A5" s="165" t="s">
        <v>334</v>
      </c>
      <c r="B5" s="230">
        <f t="shared" ref="B5:G5" si="0">SUM(B6:B11)</f>
        <v>67338258.455316007</v>
      </c>
      <c r="C5" s="230">
        <f t="shared" si="0"/>
        <v>73438459.18928273</v>
      </c>
      <c r="D5" s="230">
        <f t="shared" si="0"/>
        <v>66959669.219600663</v>
      </c>
      <c r="E5" s="230">
        <f t="shared" si="0"/>
        <v>68452570.39870967</v>
      </c>
      <c r="F5" s="230">
        <f t="shared" si="0"/>
        <v>66817356.867014877</v>
      </c>
      <c r="G5" s="230">
        <f t="shared" si="0"/>
        <v>63000000.62956886</v>
      </c>
      <c r="H5" s="385">
        <f>SUM(B5:G5)</f>
        <v>406006314.75949281</v>
      </c>
    </row>
    <row r="6" spans="1:9" x14ac:dyDescent="0.25">
      <c r="A6" s="157" t="s">
        <v>335</v>
      </c>
      <c r="B6" s="230"/>
      <c r="C6" s="230"/>
      <c r="D6" s="230"/>
      <c r="E6" s="230"/>
      <c r="F6" s="230"/>
      <c r="G6" s="392"/>
      <c r="H6" s="230">
        <f t="shared" ref="H6:H11" si="1">SUM(B6:G6)</f>
        <v>0</v>
      </c>
    </row>
    <row r="7" spans="1:9" x14ac:dyDescent="0.25">
      <c r="A7" s="157" t="s">
        <v>336</v>
      </c>
      <c r="B7" s="303">
        <f>'F-2 Estructura'!B31</f>
        <v>29358644.055316009</v>
      </c>
      <c r="C7" s="303">
        <f>'F-2 Estructura'!C31</f>
        <v>20169944.345248464</v>
      </c>
      <c r="D7" s="303">
        <v>0</v>
      </c>
      <c r="E7" s="303">
        <v>0</v>
      </c>
      <c r="F7" s="303">
        <v>0</v>
      </c>
      <c r="G7" s="303">
        <v>0</v>
      </c>
      <c r="H7" s="230">
        <f t="shared" si="1"/>
        <v>49528588.400564477</v>
      </c>
    </row>
    <row r="8" spans="1:9" x14ac:dyDescent="0.25">
      <c r="A8" s="157" t="s">
        <v>337</v>
      </c>
      <c r="B8" s="545">
        <f>'F-2 Estructura'!B29</f>
        <v>0</v>
      </c>
      <c r="C8" s="545">
        <f>'F-2 Estructura'!C29</f>
        <v>101987.5</v>
      </c>
      <c r="D8" s="230">
        <v>0</v>
      </c>
      <c r="E8" s="230">
        <v>0</v>
      </c>
      <c r="F8" s="230">
        <v>0</v>
      </c>
      <c r="G8" s="392">
        <v>0</v>
      </c>
      <c r="H8" s="230">
        <f t="shared" si="1"/>
        <v>101987.5</v>
      </c>
    </row>
    <row r="9" spans="1:9" x14ac:dyDescent="0.25">
      <c r="A9" s="157" t="s">
        <v>338</v>
      </c>
      <c r="B9" s="546">
        <f>'F-2 Estructura'!B30</f>
        <v>37979614.399999999</v>
      </c>
      <c r="C9" s="546">
        <f>'F-2 Estructura'!C30</f>
        <v>0</v>
      </c>
      <c r="D9" s="303">
        <v>0</v>
      </c>
      <c r="E9" s="303">
        <v>0</v>
      </c>
      <c r="F9" s="303">
        <v>0</v>
      </c>
      <c r="G9" s="393">
        <v>0</v>
      </c>
      <c r="H9" s="230">
        <f t="shared" si="1"/>
        <v>37979614.399999999</v>
      </c>
    </row>
    <row r="10" spans="1:9" x14ac:dyDescent="0.25">
      <c r="A10" s="157" t="s">
        <v>339</v>
      </c>
      <c r="B10" s="230">
        <v>0</v>
      </c>
      <c r="C10" s="230">
        <f>'F-CRes'!B4</f>
        <v>51285645</v>
      </c>
      <c r="D10" s="230">
        <f>'F-CRes'!C4</f>
        <v>63000000</v>
      </c>
      <c r="E10" s="230">
        <f>'F-CRes'!D4</f>
        <v>63000000</v>
      </c>
      <c r="F10" s="230">
        <f>'F-CRes'!E4</f>
        <v>63000000</v>
      </c>
      <c r="G10" s="230">
        <f>'F-CRes'!F4</f>
        <v>63000000</v>
      </c>
      <c r="H10" s="230">
        <f t="shared" si="1"/>
        <v>303285645</v>
      </c>
    </row>
    <row r="11" spans="1:9" x14ac:dyDescent="0.25">
      <c r="A11" s="157" t="s">
        <v>340</v>
      </c>
      <c r="B11" s="230">
        <f>'F-IVA'!B19</f>
        <v>0</v>
      </c>
      <c r="C11" s="230">
        <f>'F-IVA'!C19</f>
        <v>1880882.3440342732</v>
      </c>
      <c r="D11" s="230">
        <f>'F-IVA'!D19</f>
        <v>3959669.2196006607</v>
      </c>
      <c r="E11" s="230">
        <f>'F-IVA'!E19</f>
        <v>5452570.3987096725</v>
      </c>
      <c r="F11" s="230">
        <f>'F-IVA'!F19</f>
        <v>3817356.8670148794</v>
      </c>
      <c r="G11" s="230">
        <f>'F-IVA'!G19</f>
        <v>0.62956886081316044</v>
      </c>
      <c r="H11" s="230">
        <f t="shared" si="1"/>
        <v>15110479.458928345</v>
      </c>
    </row>
    <row r="12" spans="1:9" x14ac:dyDescent="0.25">
      <c r="A12" s="157"/>
      <c r="B12" s="296"/>
      <c r="C12" s="296"/>
      <c r="D12" s="296"/>
      <c r="E12" s="296"/>
      <c r="F12" s="296"/>
      <c r="G12" s="111"/>
      <c r="H12" s="65"/>
    </row>
    <row r="13" spans="1:9" ht="13" x14ac:dyDescent="0.3">
      <c r="A13" s="165" t="s">
        <v>341</v>
      </c>
      <c r="B13" s="296">
        <f>SUM(B14:B22)</f>
        <v>67338258.455315992</v>
      </c>
      <c r="C13" s="296">
        <f t="shared" ref="C13:G13" si="2">SUM(C14:C22)</f>
        <v>70350598.178436667</v>
      </c>
      <c r="D13" s="296">
        <f t="shared" si="2"/>
        <v>64625961.222293049</v>
      </c>
      <c r="E13" s="296">
        <f t="shared" si="2"/>
        <v>63457562.333689444</v>
      </c>
      <c r="F13" s="296">
        <f t="shared" si="2"/>
        <v>61147562.132868879</v>
      </c>
      <c r="G13" s="296">
        <f t="shared" si="2"/>
        <v>55411031.298490644</v>
      </c>
      <c r="H13" s="65">
        <f>SUM(B13:G13)</f>
        <v>382330973.62109464</v>
      </c>
      <c r="I13" s="492">
        <f>SUM(H14:H22)</f>
        <v>382330973.6210947</v>
      </c>
    </row>
    <row r="14" spans="1:9" x14ac:dyDescent="0.25">
      <c r="A14" s="157" t="s">
        <v>342</v>
      </c>
      <c r="B14" s="303">
        <f>'F-2 Estructura'!B8</f>
        <v>54256592</v>
      </c>
      <c r="C14" s="303">
        <f>'F-2 Estructura'!C8</f>
        <v>150000</v>
      </c>
      <c r="D14" s="303">
        <v>0</v>
      </c>
      <c r="E14" s="303">
        <v>0</v>
      </c>
      <c r="F14" s="303">
        <v>0</v>
      </c>
      <c r="G14" s="303">
        <v>0</v>
      </c>
      <c r="H14" s="65">
        <f t="shared" ref="H14:H22" si="3">SUM(B14:G14)</f>
        <v>54406592</v>
      </c>
    </row>
    <row r="15" spans="1:9" x14ac:dyDescent="0.25">
      <c r="A15" s="157" t="s">
        <v>266</v>
      </c>
      <c r="B15" s="230">
        <f>'E-InvAT'!B24</f>
        <v>1537274.2996</v>
      </c>
      <c r="C15" s="230">
        <f>'E-InvAT'!C24</f>
        <v>18030667.460794348</v>
      </c>
      <c r="D15" s="230">
        <f>'E-InvAT'!D24</f>
        <v>3577222.9296224937</v>
      </c>
      <c r="E15" s="230">
        <f>'E-InvAT'!E24</f>
        <v>31.296480882912874</v>
      </c>
      <c r="F15" s="230">
        <f>'E-InvAT'!F24</f>
        <v>-753.49834695458412</v>
      </c>
      <c r="G15" s="230">
        <f>'E-InvAT'!G24</f>
        <v>2.9979469552636147</v>
      </c>
      <c r="H15" s="65">
        <f t="shared" si="3"/>
        <v>23144445.486097727</v>
      </c>
    </row>
    <row r="16" spans="1:9" x14ac:dyDescent="0.25">
      <c r="A16" s="157" t="s">
        <v>343</v>
      </c>
      <c r="B16" s="230">
        <v>0</v>
      </c>
      <c r="C16" s="230">
        <f>'F-CRes'!B5+'F-CRes'!B8+'F-CRes'!B9+'F-CRes'!B10</f>
        <v>48021510.083394192</v>
      </c>
      <c r="D16" s="230">
        <f>'F-CRes'!C5+'F-CRes'!C8+'F-CRes'!C9+'F-CRes'!C10</f>
        <v>51209052.934544675</v>
      </c>
      <c r="E16" s="230">
        <f>'F-CRes'!D5+'F-CRes'!D8+'F-CRes'!D9+'F-CRes'!D10</f>
        <v>49329317.213210888</v>
      </c>
      <c r="F16" s="230">
        <f>'F-CRes'!E5+'F-CRes'!E8+'F-CRes'!E9+'F-CRes'!E10</f>
        <v>45425596.842832386</v>
      </c>
      <c r="G16" s="230">
        <f>'F-CRes'!F5+'F-CRes'!F8+'F-CRes'!F9+'F-CRes'!F10</f>
        <v>42947863.067300372</v>
      </c>
      <c r="H16" s="65">
        <f t="shared" si="3"/>
        <v>236933340.14128253</v>
      </c>
    </row>
    <row r="17" spans="1:14" x14ac:dyDescent="0.25">
      <c r="A17" s="157" t="s">
        <v>344</v>
      </c>
      <c r="B17" s="230">
        <v>0</v>
      </c>
      <c r="C17" s="230">
        <f>'F-CRes'!B13</f>
        <v>1039626.9709389521</v>
      </c>
      <c r="D17" s="230">
        <f>'F-CRes'!C13</f>
        <v>3755416.6403475194</v>
      </c>
      <c r="E17" s="230">
        <f>'F-CRes'!D13</f>
        <v>4354112.4675923306</v>
      </c>
      <c r="F17" s="230">
        <f>'F-CRes'!E13</f>
        <v>5597447.4055578848</v>
      </c>
      <c r="G17" s="230">
        <f>'F-CRes'!F13</f>
        <v>6386605.6130648283</v>
      </c>
      <c r="H17" s="65">
        <f t="shared" si="3"/>
        <v>21133209.097501516</v>
      </c>
    </row>
    <row r="18" spans="1:14" x14ac:dyDescent="0.25">
      <c r="A18" s="157" t="s">
        <v>345</v>
      </c>
      <c r="B18" s="546">
        <v>0</v>
      </c>
      <c r="C18" s="547">
        <v>0</v>
      </c>
      <c r="D18" s="546">
        <f>'F-Cred'!E22</f>
        <v>4271866.666666667</v>
      </c>
      <c r="E18" s="546">
        <f>+'F-Cred'!E24</f>
        <v>8543733.333333334</v>
      </c>
      <c r="F18" s="546">
        <f>+'F-Cred'!E26</f>
        <v>8543733.333333334</v>
      </c>
      <c r="G18" s="546">
        <f>+'F-Cred'!E27</f>
        <v>4271866.666666667</v>
      </c>
      <c r="H18" s="548">
        <f t="shared" si="3"/>
        <v>25631200.000000004</v>
      </c>
      <c r="I18" s="549"/>
    </row>
    <row r="19" spans="1:14" x14ac:dyDescent="0.25">
      <c r="A19" s="157" t="s">
        <v>346</v>
      </c>
      <c r="B19" s="545">
        <v>0</v>
      </c>
      <c r="C19" s="545">
        <f>'F-CRes'!B12</f>
        <v>293772.14249452337</v>
      </c>
      <c r="D19" s="545">
        <f>'F-CRes'!C12</f>
        <v>1061185.2358909789</v>
      </c>
      <c r="E19" s="545">
        <f>'F-CRes'!D12</f>
        <v>1230361.4508110196</v>
      </c>
      <c r="F19" s="545">
        <f>'F-CRes'!E12</f>
        <v>1581696.2841450851</v>
      </c>
      <c r="G19" s="545">
        <f>'F-CRes'!F12</f>
        <v>1804692.3239429658</v>
      </c>
      <c r="H19" s="548">
        <f t="shared" si="3"/>
        <v>5971707.437284573</v>
      </c>
      <c r="I19" s="549"/>
    </row>
    <row r="20" spans="1:14" x14ac:dyDescent="0.25">
      <c r="A20" s="157" t="s">
        <v>347</v>
      </c>
      <c r="B20" s="546">
        <v>0</v>
      </c>
      <c r="C20" s="546">
        <v>0</v>
      </c>
      <c r="D20" s="546">
        <v>0</v>
      </c>
      <c r="E20" s="546">
        <v>0</v>
      </c>
      <c r="F20" s="546">
        <v>0</v>
      </c>
      <c r="G20" s="550">
        <v>0</v>
      </c>
      <c r="H20" s="548">
        <f t="shared" si="3"/>
        <v>0</v>
      </c>
      <c r="I20" s="549"/>
    </row>
    <row r="21" spans="1:14" x14ac:dyDescent="0.25">
      <c r="A21" s="157" t="s">
        <v>348</v>
      </c>
      <c r="B21" s="545">
        <f>'F-IVA'!B17</f>
        <v>11544392.155716</v>
      </c>
      <c r="C21" s="545">
        <f>'F-IVA'!C17</f>
        <v>2815021.5208146381</v>
      </c>
      <c r="D21" s="545">
        <f>'F-IVA'!D17</f>
        <v>751216.81522072363</v>
      </c>
      <c r="E21" s="545">
        <f>'F-IVA'!E17</f>
        <v>6.5722609858700887</v>
      </c>
      <c r="F21" s="545">
        <f>'F-IVA'!F17</f>
        <v>-158.2346528607988</v>
      </c>
      <c r="G21" s="545">
        <f>'F-IVA'!G17</f>
        <v>0.62956886081316044</v>
      </c>
      <c r="H21" s="548">
        <f t="shared" si="3"/>
        <v>15110479.458928347</v>
      </c>
      <c r="I21" s="549"/>
    </row>
    <row r="22" spans="1:14" x14ac:dyDescent="0.25">
      <c r="A22" s="157" t="s">
        <v>349</v>
      </c>
      <c r="B22" s="545">
        <v>0</v>
      </c>
      <c r="C22" s="545">
        <v>0</v>
      </c>
      <c r="D22" s="545">
        <v>0</v>
      </c>
      <c r="E22" s="545">
        <v>0</v>
      </c>
      <c r="F22" s="545">
        <v>0</v>
      </c>
      <c r="G22" s="551">
        <v>0</v>
      </c>
      <c r="H22" s="548">
        <f t="shared" si="3"/>
        <v>0</v>
      </c>
      <c r="I22" s="549"/>
    </row>
    <row r="23" spans="1:14" x14ac:dyDescent="0.25">
      <c r="A23" s="157"/>
      <c r="B23" s="552"/>
      <c r="C23" s="552"/>
      <c r="D23" s="552"/>
      <c r="E23" s="552"/>
      <c r="F23" s="552"/>
      <c r="G23" s="553"/>
      <c r="H23" s="554"/>
      <c r="I23" s="549"/>
    </row>
    <row r="24" spans="1:14" ht="13" x14ac:dyDescent="0.3">
      <c r="A24" s="165" t="s">
        <v>350</v>
      </c>
      <c r="B24" s="544">
        <f t="shared" ref="B24:G24" si="4">B5-B13</f>
        <v>0</v>
      </c>
      <c r="C24" s="544">
        <f t="shared" si="4"/>
        <v>3087861.0108460635</v>
      </c>
      <c r="D24" s="544">
        <f t="shared" si="4"/>
        <v>2333707.9973076135</v>
      </c>
      <c r="E24" s="544">
        <f t="shared" si="4"/>
        <v>4995008.0650202259</v>
      </c>
      <c r="F24" s="544">
        <f t="shared" si="4"/>
        <v>5669794.734145999</v>
      </c>
      <c r="G24" s="544">
        <f t="shared" si="4"/>
        <v>7588969.3310782164</v>
      </c>
      <c r="H24" s="548">
        <f>SUM(B24:G24)</f>
        <v>23675341.138398118</v>
      </c>
      <c r="I24" s="549"/>
    </row>
    <row r="25" spans="1:14" ht="13" x14ac:dyDescent="0.3">
      <c r="A25" s="165" t="s">
        <v>351</v>
      </c>
      <c r="B25" s="544"/>
      <c r="C25" s="544">
        <f>'E-Inv AF y Am'!D56+('F-Cred'!J17/3)</f>
        <v>3356523.5111111109</v>
      </c>
      <c r="D25" s="544">
        <f>C25</f>
        <v>3356523.5111111109</v>
      </c>
      <c r="E25" s="544">
        <f>D25</f>
        <v>3356523.5111111109</v>
      </c>
      <c r="F25" s="544">
        <f>'E-Inv AF y Am'!E56</f>
        <v>1932406.4</v>
      </c>
      <c r="G25" s="555">
        <f>F25</f>
        <v>1932406.4</v>
      </c>
      <c r="H25" s="548">
        <f>SUM(B25:G25)</f>
        <v>13934383.333333334</v>
      </c>
      <c r="I25" s="549"/>
    </row>
    <row r="26" spans="1:14" ht="13" x14ac:dyDescent="0.3">
      <c r="A26" s="165"/>
      <c r="B26" s="552"/>
      <c r="C26" s="552"/>
      <c r="D26" s="552"/>
      <c r="E26" s="552"/>
      <c r="F26" s="552"/>
      <c r="G26" s="553"/>
      <c r="H26" s="554"/>
      <c r="I26" s="549"/>
    </row>
    <row r="27" spans="1:14" ht="13" x14ac:dyDescent="0.3">
      <c r="A27" s="165" t="s">
        <v>352</v>
      </c>
      <c r="B27" s="556">
        <f t="shared" ref="B27:G27" si="5">SUM(B24:B25)</f>
        <v>0</v>
      </c>
      <c r="C27" s="556">
        <f t="shared" si="5"/>
        <v>6444384.5219571739</v>
      </c>
      <c r="D27" s="556">
        <f t="shared" si="5"/>
        <v>5690231.5084187239</v>
      </c>
      <c r="E27" s="556">
        <f t="shared" si="5"/>
        <v>8351531.5761313364</v>
      </c>
      <c r="F27" s="556">
        <f t="shared" si="5"/>
        <v>7602201.1341459993</v>
      </c>
      <c r="G27" s="556">
        <f t="shared" si="5"/>
        <v>9521375.7310782168</v>
      </c>
      <c r="H27" s="556">
        <f>G27</f>
        <v>9521375.7310782168</v>
      </c>
      <c r="I27" s="549" t="s">
        <v>632</v>
      </c>
    </row>
    <row r="28" spans="1:14" ht="13.5" thickBot="1" x14ac:dyDescent="0.35">
      <c r="A28" s="173" t="s">
        <v>353</v>
      </c>
      <c r="B28" s="557"/>
      <c r="C28" s="557">
        <f>C27-B27</f>
        <v>6444384.5219571739</v>
      </c>
      <c r="D28" s="557">
        <f>D27-C27</f>
        <v>-754153.01353845</v>
      </c>
      <c r="E28" s="557">
        <f>E27-D27</f>
        <v>2661300.0677126125</v>
      </c>
      <c r="F28" s="557">
        <f>F27-E27</f>
        <v>-749330.44198533706</v>
      </c>
      <c r="G28" s="557">
        <f>G27-F27</f>
        <v>1919174.5969322175</v>
      </c>
      <c r="H28" s="557">
        <f>SUM(B28:G28)</f>
        <v>9521375.7310782168</v>
      </c>
      <c r="I28" s="549"/>
      <c r="J28" s="157"/>
      <c r="K28" s="157"/>
      <c r="L28" s="157"/>
      <c r="M28" s="157"/>
      <c r="N28" s="157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="90" zoomScaleNormal="90" workbookViewId="0">
      <selection activeCell="E31" sqref="E31"/>
    </sheetView>
  </sheetViews>
  <sheetFormatPr baseColWidth="10" defaultColWidth="11.26953125" defaultRowHeight="12.5" x14ac:dyDescent="0.25"/>
  <cols>
    <col min="1" max="1" width="37.453125" style="157" customWidth="1"/>
    <col min="2" max="7" width="17.1796875" style="157" bestFit="1" customWidth="1"/>
    <col min="8" max="8" width="17.26953125" style="157" customWidth="1"/>
    <col min="9" max="16384" width="11.26953125" style="157"/>
  </cols>
  <sheetData>
    <row r="1" spans="1:8" ht="13" x14ac:dyDescent="0.3">
      <c r="A1" s="1" t="s">
        <v>0</v>
      </c>
      <c r="B1"/>
      <c r="C1"/>
      <c r="D1"/>
      <c r="E1" s="2">
        <f>InfoInicial!E1</f>
        <v>2</v>
      </c>
    </row>
    <row r="3" spans="1:8" ht="15.5" x14ac:dyDescent="0.35">
      <c r="A3" s="187" t="s">
        <v>354</v>
      </c>
      <c r="B3" s="188"/>
      <c r="C3" s="188"/>
      <c r="D3" s="188"/>
      <c r="E3" s="188"/>
      <c r="F3" s="188"/>
      <c r="G3" s="190"/>
    </row>
    <row r="4" spans="1:8" ht="13" x14ac:dyDescent="0.3">
      <c r="A4" s="197"/>
      <c r="B4" s="198" t="s">
        <v>53</v>
      </c>
      <c r="C4" s="198" t="s">
        <v>54</v>
      </c>
      <c r="D4" s="198" t="s">
        <v>95</v>
      </c>
      <c r="E4" s="198" t="s">
        <v>96</v>
      </c>
      <c r="F4" s="198" t="s">
        <v>97</v>
      </c>
      <c r="G4" s="199" t="s">
        <v>98</v>
      </c>
    </row>
    <row r="5" spans="1:8" ht="13" x14ac:dyDescent="0.3">
      <c r="A5" s="200" t="s">
        <v>355</v>
      </c>
      <c r="B5" s="397">
        <f t="shared" ref="B5:G5" si="0">SUM(B7:B11)</f>
        <v>3418156.6436342732</v>
      </c>
      <c r="C5" s="397">
        <f t="shared" si="0"/>
        <v>29971995.501952186</v>
      </c>
      <c r="D5" s="397">
        <f t="shared" si="0"/>
        <v>34287966.597145237</v>
      </c>
      <c r="E5" s="397">
        <f t="shared" si="0"/>
        <v>35314084.429643944</v>
      </c>
      <c r="F5" s="397">
        <f t="shared" si="0"/>
        <v>30746643.622296773</v>
      </c>
      <c r="G5" s="398">
        <f t="shared" si="0"/>
        <v>32665821.217175946</v>
      </c>
    </row>
    <row r="6" spans="1:8" ht="13" x14ac:dyDescent="0.3">
      <c r="A6" s="171" t="s">
        <v>356</v>
      </c>
      <c r="B6" s="85"/>
      <c r="C6" s="85"/>
      <c r="D6" s="85"/>
      <c r="E6" s="85"/>
      <c r="F6" s="85"/>
      <c r="G6" s="86"/>
    </row>
    <row r="7" spans="1:8" x14ac:dyDescent="0.25">
      <c r="A7" s="191" t="s">
        <v>357</v>
      </c>
      <c r="B7" s="303">
        <f>'E-InvAT'!B6</f>
        <v>820570.32000000007</v>
      </c>
      <c r="C7" s="303">
        <f>'E-InvAT'!C6</f>
        <v>1025712.9</v>
      </c>
      <c r="D7" s="303">
        <f>'E-InvAT'!D6</f>
        <v>1260000</v>
      </c>
      <c r="E7" s="303">
        <f>'E-InvAT'!E6</f>
        <v>1260000</v>
      </c>
      <c r="F7" s="303">
        <f>'E-InvAT'!F6</f>
        <v>1260000</v>
      </c>
      <c r="G7" s="303">
        <f>'E-InvAT'!G6</f>
        <v>1260000</v>
      </c>
    </row>
    <row r="8" spans="1:8" x14ac:dyDescent="0.25">
      <c r="A8" s="191" t="s">
        <v>358</v>
      </c>
      <c r="B8" s="296">
        <f>'F- CFyU'!B27</f>
        <v>0</v>
      </c>
      <c r="C8" s="296">
        <f>'F- CFyU'!C27</f>
        <v>6444384.5219571739</v>
      </c>
      <c r="D8" s="296">
        <f>'F- CFyU'!D27</f>
        <v>5690231.5084187239</v>
      </c>
      <c r="E8" s="296">
        <f>'F- CFyU'!E27</f>
        <v>8351531.5761313364</v>
      </c>
      <c r="F8" s="296">
        <f>'F- CFyU'!F27</f>
        <v>7602201.1341459993</v>
      </c>
      <c r="G8" s="296">
        <f>'F- CFyU'!G27</f>
        <v>9521375.7310782168</v>
      </c>
    </row>
    <row r="9" spans="1:8" ht="13" x14ac:dyDescent="0.3">
      <c r="A9" s="171" t="s">
        <v>359</v>
      </c>
      <c r="B9" s="195">
        <f>'E-InvAT'!B7</f>
        <v>0</v>
      </c>
      <c r="C9" s="195">
        <f>'E-InvAT'!C7</f>
        <v>4215258.493150685</v>
      </c>
      <c r="D9" s="195">
        <f>'E-InvAT'!D7</f>
        <v>5178082.1917808214</v>
      </c>
      <c r="E9" s="195">
        <f>'E-InvAT'!E7</f>
        <v>5178082.1917808214</v>
      </c>
      <c r="F9" s="195">
        <f>'E-InvAT'!F7</f>
        <v>5178082.1917808214</v>
      </c>
      <c r="G9" s="195">
        <f>'E-InvAT'!G7</f>
        <v>5178082.1917808214</v>
      </c>
    </row>
    <row r="10" spans="1:8" ht="13" x14ac:dyDescent="0.3">
      <c r="A10" s="171" t="s">
        <v>360</v>
      </c>
      <c r="B10" s="296">
        <f>'E-InvAT'!B9</f>
        <v>716703.97959999996</v>
      </c>
      <c r="C10" s="296">
        <f>'E-InvAT'!C9</f>
        <v>14326970.367243664</v>
      </c>
      <c r="D10" s="296">
        <f>'E-InvAT'!D9</f>
        <v>16707082.498236021</v>
      </c>
      <c r="E10" s="296">
        <f>'E-InvAT'!E9</f>
        <v>16707113.794716906</v>
      </c>
      <c r="F10" s="296">
        <f>'E-InvAT'!F9</f>
        <v>16706360.296369951</v>
      </c>
      <c r="G10" s="296">
        <f>'E-InvAT'!G9</f>
        <v>16706363.294316906</v>
      </c>
    </row>
    <row r="11" spans="1:8" ht="13" x14ac:dyDescent="0.3">
      <c r="A11" s="171" t="s">
        <v>361</v>
      </c>
      <c r="B11" s="338">
        <f>'F-IVA'!C19</f>
        <v>1880882.3440342732</v>
      </c>
      <c r="C11" s="338">
        <f>'F-IVA'!D19</f>
        <v>3959669.2196006607</v>
      </c>
      <c r="D11" s="338">
        <f>'F-IVA'!E19</f>
        <v>5452570.3987096725</v>
      </c>
      <c r="E11" s="338">
        <f>'F-IVA'!F19</f>
        <v>3817356.8670148794</v>
      </c>
      <c r="F11" s="338">
        <v>0</v>
      </c>
      <c r="G11" s="338">
        <f>'F-IVA'!H19</f>
        <v>0</v>
      </c>
      <c r="H11" s="399" t="s">
        <v>633</v>
      </c>
    </row>
    <row r="12" spans="1:8" ht="13" x14ac:dyDescent="0.3">
      <c r="A12" s="171" t="s">
        <v>362</v>
      </c>
      <c r="B12" s="230">
        <f t="shared" ref="B12:G12" si="1">B17+B22+B23</f>
        <v>63920101.811681725</v>
      </c>
      <c r="C12" s="230">
        <f t="shared" si="1"/>
        <v>59568930.601784587</v>
      </c>
      <c r="D12" s="230">
        <f t="shared" si="1"/>
        <v>51511053.507184528</v>
      </c>
      <c r="E12" s="230">
        <f t="shared" si="1"/>
        <v>44337179.701319523</v>
      </c>
      <c r="F12" s="230">
        <f t="shared" si="1"/>
        <v>42404615.066666663</v>
      </c>
      <c r="G12" s="265">
        <f t="shared" si="1"/>
        <v>40472208.666666657</v>
      </c>
    </row>
    <row r="13" spans="1:8" ht="13" x14ac:dyDescent="0.3">
      <c r="A13" s="171" t="s">
        <v>363</v>
      </c>
      <c r="B13" s="201"/>
      <c r="C13" s="201"/>
      <c r="D13" s="201"/>
      <c r="E13" s="201"/>
      <c r="F13" s="201"/>
      <c r="G13" s="202"/>
    </row>
    <row r="14" spans="1:8" x14ac:dyDescent="0.25">
      <c r="A14" s="191" t="s">
        <v>364</v>
      </c>
      <c r="B14" s="396">
        <f>'F-2 Estructura'!B7</f>
        <v>162947.20000000001</v>
      </c>
      <c r="C14" s="396">
        <f>B17</f>
        <v>162947.20000000001</v>
      </c>
      <c r="D14" s="396">
        <f>C17</f>
        <v>-1123759.351111111</v>
      </c>
      <c r="E14" s="396">
        <f>D17</f>
        <v>-2560465.9022222217</v>
      </c>
      <c r="F14" s="396">
        <f>E17</f>
        <v>-3997172.4533333327</v>
      </c>
      <c r="G14" s="396">
        <f>F17</f>
        <v>-4059761.8933333326</v>
      </c>
      <c r="H14" s="157" t="s">
        <v>633</v>
      </c>
    </row>
    <row r="15" spans="1:8" x14ac:dyDescent="0.25">
      <c r="A15" s="191" t="s">
        <v>365</v>
      </c>
      <c r="B15" s="394">
        <v>0</v>
      </c>
      <c r="C15" s="394">
        <f>'F-2 Estructura'!C8</f>
        <v>150000</v>
      </c>
      <c r="D15" s="394">
        <v>0</v>
      </c>
      <c r="E15" s="394">
        <v>0</v>
      </c>
      <c r="F15" s="394">
        <v>0</v>
      </c>
      <c r="G15" s="394">
        <v>0</v>
      </c>
      <c r="H15" s="157" t="s">
        <v>633</v>
      </c>
    </row>
    <row r="16" spans="1:8" x14ac:dyDescent="0.25">
      <c r="A16" s="191" t="s">
        <v>366</v>
      </c>
      <c r="B16" s="396">
        <v>0</v>
      </c>
      <c r="C16" s="396">
        <f>'E-Inv AF y Am'!D53+'F-Cred'!$J$17/3</f>
        <v>1436706.551111111</v>
      </c>
      <c r="D16" s="396">
        <f>+'E-Inv AF y Am'!D53+'F-Cred'!$J$17/3</f>
        <v>1436706.551111111</v>
      </c>
      <c r="E16" s="396">
        <f>+'E-Inv AF y Am'!D53+'F-Cred'!$J$17/3</f>
        <v>1436706.551111111</v>
      </c>
      <c r="F16" s="395">
        <f>+'E-Inv AF y Am'!E53</f>
        <v>62589.440000000002</v>
      </c>
      <c r="G16" s="395">
        <f>+'E-Inv AF y Am'!E53</f>
        <v>62589.440000000002</v>
      </c>
    </row>
    <row r="17" spans="1:8" x14ac:dyDescent="0.25">
      <c r="A17" s="191" t="s">
        <v>367</v>
      </c>
      <c r="B17" s="296">
        <f t="shared" ref="B17:G17" si="2">B14+B15-B16</f>
        <v>162947.20000000001</v>
      </c>
      <c r="C17" s="296">
        <f t="shared" si="2"/>
        <v>-1123759.351111111</v>
      </c>
      <c r="D17" s="296">
        <f t="shared" si="2"/>
        <v>-2560465.9022222217</v>
      </c>
      <c r="E17" s="296">
        <f t="shared" si="2"/>
        <v>-3997172.4533333327</v>
      </c>
      <c r="F17" s="296">
        <f t="shared" si="2"/>
        <v>-4059761.8933333326</v>
      </c>
      <c r="G17" s="65">
        <f t="shared" si="2"/>
        <v>-4122351.3333333326</v>
      </c>
    </row>
    <row r="18" spans="1:8" ht="13" x14ac:dyDescent="0.3">
      <c r="A18" s="171" t="s">
        <v>87</v>
      </c>
      <c r="B18" s="195"/>
      <c r="C18" s="195"/>
      <c r="D18" s="195"/>
      <c r="E18" s="195"/>
      <c r="F18" s="195"/>
      <c r="G18" s="196"/>
    </row>
    <row r="19" spans="1:8" x14ac:dyDescent="0.25">
      <c r="A19" s="191" t="s">
        <v>364</v>
      </c>
      <c r="B19" s="296">
        <f>'F-2 Estructura'!B6</f>
        <v>54093644.799999997</v>
      </c>
      <c r="C19" s="296">
        <f>B22</f>
        <v>54093644.799999997</v>
      </c>
      <c r="D19" s="296">
        <f>C22</f>
        <v>52173827.839999996</v>
      </c>
      <c r="E19" s="296">
        <f>D22</f>
        <v>50254010.879999995</v>
      </c>
      <c r="F19" s="296">
        <f>E22</f>
        <v>48334193.919999994</v>
      </c>
      <c r="G19" s="65">
        <f>F22</f>
        <v>46464376.959999993</v>
      </c>
    </row>
    <row r="20" spans="1:8" x14ac:dyDescent="0.25">
      <c r="A20" s="191" t="s">
        <v>368</v>
      </c>
      <c r="B20" s="296">
        <v>0</v>
      </c>
      <c r="C20" s="296">
        <v>0</v>
      </c>
      <c r="D20" s="296">
        <v>0</v>
      </c>
      <c r="E20" s="296">
        <v>0</v>
      </c>
      <c r="F20" s="296">
        <v>0</v>
      </c>
      <c r="G20" s="65">
        <v>0</v>
      </c>
    </row>
    <row r="21" spans="1:8" x14ac:dyDescent="0.25">
      <c r="A21" s="191" t="s">
        <v>369</v>
      </c>
      <c r="B21" s="296">
        <v>0</v>
      </c>
      <c r="C21" s="296">
        <f>'E-Inv AF y Am'!D51</f>
        <v>1919816.96</v>
      </c>
      <c r="D21" s="296">
        <f>'E-Inv AF y Am'!D51</f>
        <v>1919816.96</v>
      </c>
      <c r="E21" s="296">
        <f>'E-Inv AF y Am'!D51</f>
        <v>1919816.96</v>
      </c>
      <c r="F21" s="65">
        <f>'E-Inv AF y Am'!E51</f>
        <v>1869816.96</v>
      </c>
      <c r="G21" s="65">
        <f>'E-Inv AF y Am'!E51</f>
        <v>1869816.96</v>
      </c>
    </row>
    <row r="22" spans="1:8" x14ac:dyDescent="0.25">
      <c r="A22" s="191" t="s">
        <v>367</v>
      </c>
      <c r="B22" s="303">
        <f>B19-B20+B21</f>
        <v>54093644.799999997</v>
      </c>
      <c r="C22" s="303">
        <f>C19+C20-C21</f>
        <v>52173827.839999996</v>
      </c>
      <c r="D22" s="303">
        <f>D19+D20-D21</f>
        <v>50254010.879999995</v>
      </c>
      <c r="E22" s="303">
        <f>E19+E20-E21</f>
        <v>48334193.919999994</v>
      </c>
      <c r="F22" s="303">
        <f>F19+F20-F21</f>
        <v>46464376.959999993</v>
      </c>
      <c r="G22" s="266">
        <f>G19+G20-G21</f>
        <v>44594559.999999993</v>
      </c>
    </row>
    <row r="23" spans="1:8" ht="13" x14ac:dyDescent="0.3">
      <c r="A23" s="171" t="s">
        <v>370</v>
      </c>
      <c r="B23" s="394">
        <f>'F-IVA'!B18-B11</f>
        <v>9663509.8116817269</v>
      </c>
      <c r="C23" s="394">
        <f>'F-IVA'!C18-C11</f>
        <v>8518862.1128957048</v>
      </c>
      <c r="D23" s="394">
        <f>'F-IVA'!D18-D11</f>
        <v>3817508.5294067552</v>
      </c>
      <c r="E23" s="394">
        <f>'F-IVA'!E18-E11</f>
        <v>158.23465286102146</v>
      </c>
      <c r="F23" s="394">
        <f>'F-IVA'!F18-F11</f>
        <v>0</v>
      </c>
      <c r="G23" s="394">
        <f>'F-IVA'!G18-G11</f>
        <v>0</v>
      </c>
      <c r="H23" s="399" t="s">
        <v>633</v>
      </c>
    </row>
    <row r="24" spans="1:8" ht="13" x14ac:dyDescent="0.3">
      <c r="A24" s="171" t="s">
        <v>371</v>
      </c>
      <c r="B24" s="303">
        <f t="shared" ref="B24:G24" si="3">B5+B12</f>
        <v>67338258.455315992</v>
      </c>
      <c r="C24" s="303">
        <f t="shared" si="3"/>
        <v>89540926.103736773</v>
      </c>
      <c r="D24" s="303">
        <f t="shared" si="3"/>
        <v>85799020.104329765</v>
      </c>
      <c r="E24" s="303">
        <f t="shared" si="3"/>
        <v>79651264.130963475</v>
      </c>
      <c r="F24" s="303">
        <f t="shared" si="3"/>
        <v>73151258.688963443</v>
      </c>
      <c r="G24" s="266">
        <f t="shared" si="3"/>
        <v>73138029.883842602</v>
      </c>
    </row>
    <row r="25" spans="1:8" ht="13" x14ac:dyDescent="0.3">
      <c r="A25" s="171" t="s">
        <v>372</v>
      </c>
      <c r="B25" s="303">
        <f>B26+D27</f>
        <v>4271866.666666667</v>
      </c>
      <c r="C25" s="303">
        <f>C26+E27</f>
        <v>8645720.833333334</v>
      </c>
      <c r="D25" s="303">
        <f>D26+F27</f>
        <v>8645720.833333334</v>
      </c>
      <c r="E25" s="303">
        <f>E26+G27</f>
        <v>4373854.166666667</v>
      </c>
      <c r="F25" s="303">
        <f>F26+H27</f>
        <v>101987.5</v>
      </c>
      <c r="G25" s="266">
        <f>G26+G27</f>
        <v>4373854.166666667</v>
      </c>
    </row>
    <row r="26" spans="1:8" ht="13" x14ac:dyDescent="0.3">
      <c r="A26" s="171" t="s">
        <v>373</v>
      </c>
      <c r="B26" s="400">
        <v>0</v>
      </c>
      <c r="C26" s="400">
        <f>'Aux F-Cred Ren'!D12</f>
        <v>101987.5</v>
      </c>
      <c r="D26" s="400">
        <f>'Aux F-Cred Ren'!D14</f>
        <v>101987.5</v>
      </c>
      <c r="E26" s="400">
        <f>+'Aux F-Cred Ren'!D16</f>
        <v>101987.5</v>
      </c>
      <c r="F26" s="400">
        <f>+'Aux F-Cred Ren'!D18</f>
        <v>101987.5</v>
      </c>
      <c r="G26" s="401">
        <f>+'Aux F-Cred Ren'!D20</f>
        <v>101987.5</v>
      </c>
    </row>
    <row r="27" spans="1:8" ht="13" x14ac:dyDescent="0.3">
      <c r="A27" s="171" t="s">
        <v>374</v>
      </c>
      <c r="B27" s="157">
        <v>0</v>
      </c>
      <c r="C27" s="157">
        <v>0</v>
      </c>
      <c r="D27" s="325">
        <f>'F-Cred'!E22</f>
        <v>4271866.666666667</v>
      </c>
      <c r="E27" s="325">
        <f>'F-Cred'!E24</f>
        <v>8543733.333333334</v>
      </c>
      <c r="F27" s="325">
        <f>'F-Cred'!E26</f>
        <v>8543733.333333334</v>
      </c>
      <c r="G27" s="325">
        <f>'F-Cred'!E27</f>
        <v>4271866.666666667</v>
      </c>
    </row>
    <row r="28" spans="1:8" ht="13" x14ac:dyDescent="0.3">
      <c r="A28" s="171" t="s">
        <v>375</v>
      </c>
      <c r="B28" s="325">
        <f t="shared" ref="B28:G28" si="4">B29</f>
        <v>25631200.000000004</v>
      </c>
      <c r="C28" s="325">
        <f>C29</f>
        <v>21359333.333333336</v>
      </c>
      <c r="D28" s="325">
        <f>D29</f>
        <v>12815600.000000002</v>
      </c>
      <c r="E28" s="325">
        <f t="shared" si="4"/>
        <v>4271866.6666666679</v>
      </c>
      <c r="F28" s="325">
        <f t="shared" si="4"/>
        <v>0</v>
      </c>
      <c r="G28" s="326">
        <f t="shared" si="4"/>
        <v>0</v>
      </c>
    </row>
    <row r="29" spans="1:8" ht="13" x14ac:dyDescent="0.3">
      <c r="A29" s="171" t="s">
        <v>374</v>
      </c>
      <c r="B29" s="400">
        <f>'F-Cred'!C29</f>
        <v>25631200.000000004</v>
      </c>
      <c r="C29" s="400">
        <f>B29-'F-Cred'!E22</f>
        <v>21359333.333333336</v>
      </c>
      <c r="D29" s="400">
        <f>C29-'F-Cred'!E24</f>
        <v>12815600.000000002</v>
      </c>
      <c r="E29" s="400">
        <f>D29-'F-Cred'!E26</f>
        <v>4271866.6666666679</v>
      </c>
      <c r="F29" s="400">
        <f>E29-'F-Cred'!E27</f>
        <v>0</v>
      </c>
      <c r="G29" s="400">
        <f>F29</f>
        <v>0</v>
      </c>
    </row>
    <row r="30" spans="1:8" ht="13" x14ac:dyDescent="0.3">
      <c r="A30" s="171" t="s">
        <v>376</v>
      </c>
      <c r="B30" s="296">
        <f t="shared" ref="B30:G30" si="5">B25+B28</f>
        <v>29903066.666666672</v>
      </c>
      <c r="C30" s="296">
        <f t="shared" si="5"/>
        <v>30005054.166666672</v>
      </c>
      <c r="D30" s="296">
        <f t="shared" si="5"/>
        <v>21461320.833333336</v>
      </c>
      <c r="E30" s="296">
        <f>E25+E28</f>
        <v>8645720.8333333358</v>
      </c>
      <c r="F30" s="296">
        <f t="shared" si="5"/>
        <v>101987.5</v>
      </c>
      <c r="G30" s="65">
        <f t="shared" si="5"/>
        <v>4373854.166666667</v>
      </c>
    </row>
    <row r="31" spans="1:8" ht="13" x14ac:dyDescent="0.3">
      <c r="A31" s="171" t="s">
        <v>377</v>
      </c>
      <c r="B31" s="296">
        <f t="shared" ref="B31:G31" si="6">B24-B30</f>
        <v>37435191.788649321</v>
      </c>
      <c r="C31" s="296">
        <f t="shared" si="6"/>
        <v>59535871.937070101</v>
      </c>
      <c r="D31" s="296">
        <f t="shared" si="6"/>
        <v>64337699.270996429</v>
      </c>
      <c r="E31" s="296">
        <f t="shared" si="6"/>
        <v>71005543.297630131</v>
      </c>
      <c r="F31" s="296">
        <f t="shared" si="6"/>
        <v>73049271.188963443</v>
      </c>
      <c r="G31" s="65">
        <f t="shared" si="6"/>
        <v>68764175.717175931</v>
      </c>
    </row>
    <row r="32" spans="1:8" ht="13" x14ac:dyDescent="0.3">
      <c r="A32" s="171" t="s">
        <v>378</v>
      </c>
      <c r="B32" s="296">
        <f>'F-2 Estructura'!B31</f>
        <v>29358644.055316009</v>
      </c>
      <c r="C32" s="296">
        <f>'F-2 Estructura'!$D$31</f>
        <v>49528588.400564477</v>
      </c>
      <c r="D32" s="296">
        <f>'F-2 Estructura'!$D$31</f>
        <v>49528588.400564477</v>
      </c>
      <c r="E32" s="296">
        <f>'F-2 Estructura'!$D$31</f>
        <v>49528588.400564477</v>
      </c>
      <c r="F32" s="296">
        <f>'F-2 Estructura'!$D$31</f>
        <v>49528588.400564477</v>
      </c>
      <c r="G32" s="296">
        <f>'F-2 Estructura'!$D$31</f>
        <v>49528588.400564477</v>
      </c>
    </row>
    <row r="33" spans="1:7" ht="13" x14ac:dyDescent="0.3">
      <c r="A33" s="171" t="s">
        <v>379</v>
      </c>
      <c r="B33" s="303">
        <v>0</v>
      </c>
      <c r="C33" s="303">
        <f>'F-CRes'!B14</f>
        <v>1930735.8031723399</v>
      </c>
      <c r="D33" s="303">
        <f>'F-CRes'!C14</f>
        <v>6974345.1892168224</v>
      </c>
      <c r="E33" s="303">
        <f>'F-CRes'!D14</f>
        <v>8086208.8683857583</v>
      </c>
      <c r="F33" s="303">
        <f>'F-CRes'!E14</f>
        <v>10395259.467464644</v>
      </c>
      <c r="G33" s="303">
        <f>'F-CRes'!F14</f>
        <v>11860838.995691827</v>
      </c>
    </row>
    <row r="34" spans="1:7" ht="13" x14ac:dyDescent="0.3">
      <c r="A34" s="171" t="s">
        <v>380</v>
      </c>
      <c r="B34" s="296">
        <v>0</v>
      </c>
      <c r="C34" s="296">
        <f>B33</f>
        <v>0</v>
      </c>
      <c r="D34" s="296">
        <f>C33+C34</f>
        <v>1930735.8031723399</v>
      </c>
      <c r="E34" s="296">
        <f>D33+D34</f>
        <v>8905080.992389163</v>
      </c>
      <c r="F34" s="296">
        <f>E33+E34</f>
        <v>16991289.860774919</v>
      </c>
      <c r="G34" s="65">
        <f>F33+F34</f>
        <v>27386549.328239564</v>
      </c>
    </row>
    <row r="35" spans="1:7" ht="13" x14ac:dyDescent="0.3">
      <c r="A35" s="173" t="s">
        <v>381</v>
      </c>
      <c r="B35" s="31">
        <f t="shared" ref="B35:G35" si="7">B30+B31</f>
        <v>67338258.455315992</v>
      </c>
      <c r="C35" s="31">
        <f t="shared" si="7"/>
        <v>89540926.103736773</v>
      </c>
      <c r="D35" s="31">
        <f t="shared" si="7"/>
        <v>85799020.104329765</v>
      </c>
      <c r="E35" s="31">
        <f t="shared" si="7"/>
        <v>79651264.130963475</v>
      </c>
      <c r="F35" s="31">
        <f t="shared" si="7"/>
        <v>73151258.688963443</v>
      </c>
      <c r="G35" s="54">
        <f t="shared" si="7"/>
        <v>73138029.883842602</v>
      </c>
    </row>
    <row r="38" spans="1:7" ht="13" x14ac:dyDescent="0.3">
      <c r="A38" s="203" t="s">
        <v>382</v>
      </c>
      <c r="B38" s="140" t="str">
        <f t="shared" ref="B38:G38" si="8">IF(B24=B35,"OK","MAL")</f>
        <v>OK</v>
      </c>
      <c r="C38" s="140" t="str">
        <f t="shared" si="8"/>
        <v>OK</v>
      </c>
      <c r="D38" s="140" t="str">
        <f t="shared" si="8"/>
        <v>OK</v>
      </c>
      <c r="E38" s="140" t="str">
        <f t="shared" si="8"/>
        <v>OK</v>
      </c>
      <c r="F38" s="140" t="str">
        <f t="shared" si="8"/>
        <v>OK</v>
      </c>
      <c r="G38" s="140" t="str">
        <f t="shared" si="8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F10" zoomScale="90" zoomScaleNormal="90" workbookViewId="0">
      <selection activeCell="I10" sqref="I5:I10"/>
    </sheetView>
  </sheetViews>
  <sheetFormatPr baseColWidth="10" defaultColWidth="11.26953125" defaultRowHeight="12.5" x14ac:dyDescent="0.25"/>
  <cols>
    <col min="1" max="1" width="7.81640625" style="157" customWidth="1"/>
    <col min="2" max="2" width="17.1796875" style="157" bestFit="1" customWidth="1"/>
    <col min="3" max="3" width="20.453125" style="157" customWidth="1"/>
    <col min="4" max="4" width="16" style="157" bestFit="1" customWidth="1"/>
    <col min="5" max="5" width="18.81640625" style="157" customWidth="1"/>
    <col min="6" max="6" width="17.81640625" style="157" bestFit="1" customWidth="1"/>
    <col min="7" max="8" width="16.7265625" style="157" bestFit="1" customWidth="1"/>
    <col min="9" max="9" width="16.36328125" style="157" customWidth="1"/>
    <col min="10" max="10" width="17.453125" style="157" customWidth="1"/>
    <col min="11" max="11" width="14.7265625" style="157" customWidth="1"/>
    <col min="12" max="12" width="16.453125" style="157" customWidth="1"/>
    <col min="13" max="13" width="18.453125" style="157" customWidth="1"/>
    <col min="14" max="14" width="17.453125" style="157" customWidth="1"/>
    <col min="15" max="15" width="17.26953125" style="157" customWidth="1"/>
    <col min="16" max="16384" width="11.26953125" style="157"/>
  </cols>
  <sheetData>
    <row r="1" spans="1:14" ht="13" x14ac:dyDescent="0.3">
      <c r="A1" s="1" t="s">
        <v>0</v>
      </c>
      <c r="B1"/>
      <c r="C1"/>
      <c r="D1"/>
      <c r="G1" s="2">
        <f>InfoInicial!E1</f>
        <v>2</v>
      </c>
    </row>
    <row r="3" spans="1:14" ht="15.5" x14ac:dyDescent="0.35">
      <c r="A3" s="158" t="s">
        <v>383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1:14" ht="26" x14ac:dyDescent="0.3">
      <c r="A4" s="178" t="s">
        <v>238</v>
      </c>
      <c r="B4" s="179" t="s">
        <v>342</v>
      </c>
      <c r="C4" s="179" t="s">
        <v>384</v>
      </c>
      <c r="D4" s="179" t="s">
        <v>241</v>
      </c>
      <c r="E4" s="179" t="s">
        <v>5</v>
      </c>
      <c r="F4" s="179" t="s">
        <v>242</v>
      </c>
      <c r="G4" s="179" t="s">
        <v>243</v>
      </c>
      <c r="H4" s="179" t="s">
        <v>385</v>
      </c>
      <c r="I4" s="179" t="s">
        <v>386</v>
      </c>
      <c r="J4" s="179" t="s">
        <v>102</v>
      </c>
      <c r="K4" s="179" t="s">
        <v>245</v>
      </c>
      <c r="L4" s="179" t="s">
        <v>246</v>
      </c>
      <c r="M4" s="204" t="s">
        <v>247</v>
      </c>
      <c r="N4" s="205" t="s">
        <v>248</v>
      </c>
    </row>
    <row r="5" spans="1:14" ht="13" x14ac:dyDescent="0.3">
      <c r="A5" s="206">
        <v>0</v>
      </c>
      <c r="B5" s="131">
        <f>'F- CFyU'!B14</f>
        <v>54256592</v>
      </c>
      <c r="C5" s="131">
        <f>'F- CFyU'!B15</f>
        <v>1537274.2996</v>
      </c>
      <c r="D5" s="62">
        <f>'F-IVA'!B17</f>
        <v>11544392.155716</v>
      </c>
      <c r="E5" s="62">
        <f>'F- CFyU'!B19</f>
        <v>0</v>
      </c>
      <c r="F5" s="62">
        <f>'F- CFyU'!B17</f>
        <v>0</v>
      </c>
      <c r="G5" s="403">
        <f t="shared" ref="G5:G10" si="0">SUM(B5:F5)</f>
        <v>67338258.455315992</v>
      </c>
      <c r="H5" s="62">
        <v>0</v>
      </c>
      <c r="I5" s="409">
        <f>+'F-Cred'!J17</f>
        <v>4122351.333333333</v>
      </c>
      <c r="J5" s="62">
        <v>0</v>
      </c>
      <c r="K5" s="62">
        <v>0</v>
      </c>
      <c r="L5" s="404">
        <f t="shared" ref="L5:L10" si="1">SUM(H5:K5)</f>
        <v>4122351.333333333</v>
      </c>
      <c r="M5" s="405">
        <f t="shared" ref="M5:M10" si="2">L5-G5</f>
        <v>-63215907.121982656</v>
      </c>
      <c r="N5" s="406">
        <f>M5</f>
        <v>-63215907.121982656</v>
      </c>
    </row>
    <row r="6" spans="1:14" ht="13" x14ac:dyDescent="0.3">
      <c r="A6" s="207">
        <v>1</v>
      </c>
      <c r="B6" s="131">
        <f>'F- CFyU'!C14</f>
        <v>150000</v>
      </c>
      <c r="C6" s="407">
        <f>'F- CFyU'!C15</f>
        <v>18030667.460794348</v>
      </c>
      <c r="D6" s="296">
        <f>'F-IVA'!C17</f>
        <v>2815021.5208146381</v>
      </c>
      <c r="E6" s="296">
        <f>'F- CFyU'!C19</f>
        <v>293772.14249452337</v>
      </c>
      <c r="F6" s="296">
        <f>'F- CFyU'!C17</f>
        <v>1039626.9709389521</v>
      </c>
      <c r="G6" s="403">
        <f t="shared" si="0"/>
        <v>22329088.09504246</v>
      </c>
      <c r="H6" s="385">
        <f>'F-CRes'!B11</f>
        <v>3264134.9166058153</v>
      </c>
      <c r="I6" s="325">
        <f>+'F-Cred'!G20</f>
        <v>7449365.9999999991</v>
      </c>
      <c r="J6" s="296">
        <f>'F- CFyU'!C25</f>
        <v>3356523.5111111109</v>
      </c>
      <c r="K6" s="296">
        <f>'F-IVA'!C19</f>
        <v>1880882.3440342732</v>
      </c>
      <c r="L6" s="404">
        <f t="shared" si="1"/>
        <v>15950906.771751199</v>
      </c>
      <c r="M6" s="405">
        <f t="shared" si="2"/>
        <v>-6378181.3232912607</v>
      </c>
      <c r="N6" s="386">
        <f>M6+N5</f>
        <v>-69594088.445273921</v>
      </c>
    </row>
    <row r="7" spans="1:14" ht="13" x14ac:dyDescent="0.3">
      <c r="A7" s="207">
        <v>2</v>
      </c>
      <c r="B7" s="131">
        <f>'F- CFyU'!D14</f>
        <v>0</v>
      </c>
      <c r="C7" s="402">
        <f>'F- CFyU'!D15</f>
        <v>3577222.9296224937</v>
      </c>
      <c r="D7" s="296">
        <f>'F-IVA'!D17</f>
        <v>751216.81522072363</v>
      </c>
      <c r="E7" s="296">
        <f>'F- CFyU'!D19</f>
        <v>1061185.2358909789</v>
      </c>
      <c r="F7" s="296">
        <f>'F- CFyU'!D17</f>
        <v>3755416.6403475194</v>
      </c>
      <c r="G7" s="403">
        <f t="shared" si="0"/>
        <v>9145041.6210817154</v>
      </c>
      <c r="H7" s="385">
        <f>'F-CRes'!C11</f>
        <v>11790947.065455321</v>
      </c>
      <c r="I7" s="325">
        <f>+'F-Cred'!G22</f>
        <v>7453445.4999999991</v>
      </c>
      <c r="J7" s="296">
        <f>'F- CFyU'!D25</f>
        <v>3356523.5111111109</v>
      </c>
      <c r="K7" s="296">
        <f>'F-IVA'!D19</f>
        <v>3959669.2196006607</v>
      </c>
      <c r="L7" s="404">
        <f t="shared" si="1"/>
        <v>26560585.296167091</v>
      </c>
      <c r="M7" s="405">
        <f t="shared" si="2"/>
        <v>17415543.675085373</v>
      </c>
      <c r="N7" s="386">
        <f>M7+N6</f>
        <v>-52178544.770188548</v>
      </c>
    </row>
    <row r="8" spans="1:14" ht="13" x14ac:dyDescent="0.3">
      <c r="A8" s="207">
        <v>3</v>
      </c>
      <c r="B8" s="131">
        <f>'F- CFyU'!E14</f>
        <v>0</v>
      </c>
      <c r="C8" s="407">
        <f>'F- CFyU'!E15</f>
        <v>31.296480882912874</v>
      </c>
      <c r="D8" s="296">
        <f>'F-IVA'!E17</f>
        <v>6.5722609858700887</v>
      </c>
      <c r="E8" s="296">
        <f>'F- CFyU'!E19</f>
        <v>1230361.4508110196</v>
      </c>
      <c r="F8" s="296">
        <f>'F- CFyU'!E17</f>
        <v>4354112.4675923306</v>
      </c>
      <c r="G8" s="403">
        <f t="shared" si="0"/>
        <v>5584511.7871452188</v>
      </c>
      <c r="H8" s="385">
        <f>'F-CRes'!D11</f>
        <v>13670682.786789108</v>
      </c>
      <c r="I8" s="325">
        <f>+'F-Cred'!G24</f>
        <v>5595183.4999999991</v>
      </c>
      <c r="J8" s="296">
        <f>'F- CFyU'!E25</f>
        <v>3356523.5111111109</v>
      </c>
      <c r="K8" s="296">
        <f>'F-IVA'!E19</f>
        <v>5452570.3987096725</v>
      </c>
      <c r="L8" s="404">
        <f t="shared" si="1"/>
        <v>28074960.196609892</v>
      </c>
      <c r="M8" s="405">
        <f t="shared" si="2"/>
        <v>22490448.409464672</v>
      </c>
      <c r="N8" s="386">
        <f>M8+N7</f>
        <v>-29688096.360723875</v>
      </c>
    </row>
    <row r="9" spans="1:14" ht="13" x14ac:dyDescent="0.3">
      <c r="A9" s="207">
        <v>4</v>
      </c>
      <c r="B9" s="131">
        <f>'F- CFyU'!F14</f>
        <v>0</v>
      </c>
      <c r="C9" s="402">
        <f>'F- CFyU'!F15</f>
        <v>-753.49834695458412</v>
      </c>
      <c r="D9" s="296">
        <f>'F-IVA'!F17</f>
        <v>-158.2346528607988</v>
      </c>
      <c r="E9" s="296">
        <f>'F- CFyU'!F19</f>
        <v>1581696.2841450851</v>
      </c>
      <c r="F9" s="296">
        <f>'F- CFyU'!F17</f>
        <v>5597447.4055578848</v>
      </c>
      <c r="G9" s="403">
        <f t="shared" si="0"/>
        <v>7178231.9567031544</v>
      </c>
      <c r="H9" s="385">
        <f>'F-CRes'!E11</f>
        <v>17574403.157167614</v>
      </c>
      <c r="I9" s="325">
        <f>+'F-Cred'!G26</f>
        <v>3117500.8333333321</v>
      </c>
      <c r="J9" s="296">
        <f>'F- CFyU'!F25</f>
        <v>1932406.4</v>
      </c>
      <c r="K9" s="296">
        <f>'F-IVA'!F19</f>
        <v>3817356.8670148794</v>
      </c>
      <c r="L9" s="404">
        <f t="shared" si="1"/>
        <v>26441667.257515825</v>
      </c>
      <c r="M9" s="405">
        <f t="shared" si="2"/>
        <v>19263435.300812669</v>
      </c>
      <c r="N9" s="386">
        <f>M9+N8</f>
        <v>-10424661.059911206</v>
      </c>
    </row>
    <row r="10" spans="1:14" ht="13" x14ac:dyDescent="0.3">
      <c r="A10" s="207">
        <v>5</v>
      </c>
      <c r="B10" s="131">
        <f>J12-B5-B6</f>
        <v>-40472208.666666664</v>
      </c>
      <c r="C10" s="408">
        <f>-(SUM(C5:C9))</f>
        <v>-23144442.488150772</v>
      </c>
      <c r="D10" s="296">
        <f>'F-IVA'!G17</f>
        <v>0.62956886081316044</v>
      </c>
      <c r="E10" s="296">
        <f>'F- CFyU'!G19</f>
        <v>1804692.3239429658</v>
      </c>
      <c r="F10" s="296">
        <f>'F- CFyU'!G17</f>
        <v>6386605.6130648283</v>
      </c>
      <c r="G10" s="403">
        <f t="shared" si="0"/>
        <v>-55425352.58824078</v>
      </c>
      <c r="H10" s="385">
        <f>'F-CRes'!F11</f>
        <v>20052136.932699621</v>
      </c>
      <c r="I10" s="325">
        <f>'F-Cred'!G28</f>
        <v>639818.16666666581</v>
      </c>
      <c r="J10" s="296">
        <f>'F- CFyU'!G25</f>
        <v>1932406.4</v>
      </c>
      <c r="K10" s="296">
        <f>'F-IVA'!G19</f>
        <v>0.62956886081316044</v>
      </c>
      <c r="L10" s="404">
        <f t="shared" si="1"/>
        <v>22624362.128935143</v>
      </c>
      <c r="M10" s="405">
        <f t="shared" si="2"/>
        <v>78049714.717175931</v>
      </c>
      <c r="N10" s="386">
        <f>M10+N9</f>
        <v>67625053.657264724</v>
      </c>
    </row>
    <row r="11" spans="1:14" ht="13" x14ac:dyDescent="0.3">
      <c r="A11" s="207"/>
      <c r="B11" s="12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112"/>
      <c r="N11" s="86"/>
    </row>
    <row r="12" spans="1:14" ht="13" x14ac:dyDescent="0.3">
      <c r="A12" s="208" t="s">
        <v>249</v>
      </c>
      <c r="B12" s="127">
        <f t="shared" ref="B12:H12" si="3">SUM(B5:B10)</f>
        <v>13934383.333333336</v>
      </c>
      <c r="C12" s="70">
        <f t="shared" si="3"/>
        <v>0</v>
      </c>
      <c r="D12" s="70">
        <f t="shared" si="3"/>
        <v>15110479.458928347</v>
      </c>
      <c r="E12" s="387">
        <f t="shared" si="3"/>
        <v>5971707.437284573</v>
      </c>
      <c r="F12" s="387">
        <f t="shared" si="3"/>
        <v>21133209.097501516</v>
      </c>
      <c r="G12" s="387">
        <f t="shared" si="3"/>
        <v>56149779.327047743</v>
      </c>
      <c r="H12" s="387">
        <f t="shared" si="3"/>
        <v>66352304.858717479</v>
      </c>
      <c r="I12" s="387">
        <f>SUM(I5:I10)</f>
        <v>28377665.333333328</v>
      </c>
      <c r="J12" s="387">
        <f>SUM(J5:J10)</f>
        <v>13934383.333333334</v>
      </c>
      <c r="K12" s="387">
        <f>SUM(K5:K10)</f>
        <v>15110479.458928345</v>
      </c>
      <c r="L12" s="387">
        <f>SUM(L5:L10)</f>
        <v>123774832.98431249</v>
      </c>
      <c r="M12" s="387">
        <f>SUM(M5:M10)</f>
        <v>67625053.657264724</v>
      </c>
      <c r="N12" s="387"/>
    </row>
    <row r="13" spans="1:14" x14ac:dyDescent="0.25">
      <c r="I13" s="541"/>
    </row>
    <row r="14" spans="1:14" x14ac:dyDescent="0.25">
      <c r="C14" s="209" t="s">
        <v>250</v>
      </c>
      <c r="D14" s="135">
        <f>H12+I12-E12-F12</f>
        <v>67625053.657264724</v>
      </c>
      <c r="H14" s="432">
        <f>H12-E12-F12</f>
        <v>39247388.323931389</v>
      </c>
    </row>
    <row r="15" spans="1:14" ht="13" x14ac:dyDescent="0.3">
      <c r="A15" s="165"/>
      <c r="C15" s="209" t="s">
        <v>251</v>
      </c>
      <c r="D15" s="538">
        <f>+M10/-N9</f>
        <v>7.4870266062962756</v>
      </c>
      <c r="E15" s="157" t="s">
        <v>252</v>
      </c>
      <c r="J15"/>
      <c r="K15"/>
    </row>
    <row r="16" spans="1:14" ht="13" x14ac:dyDescent="0.25">
      <c r="C16" s="209" t="s">
        <v>387</v>
      </c>
      <c r="D16" s="410">
        <f>IRR(M5:M10)</f>
        <v>0.18720007721557752</v>
      </c>
      <c r="E16" s="157" t="s">
        <v>634</v>
      </c>
      <c r="J16" s="210"/>
      <c r="K16" s="210"/>
    </row>
    <row r="17" spans="1:15" x14ac:dyDescent="0.25">
      <c r="A17" s="213"/>
      <c r="B17" s="214"/>
      <c r="C17" s="214"/>
      <c r="D17" s="214"/>
      <c r="E17" s="215"/>
      <c r="F17" s="216"/>
      <c r="G17" s="216"/>
      <c r="H17" s="216"/>
      <c r="I17" s="216"/>
      <c r="J17" s="211"/>
      <c r="K17" s="217"/>
      <c r="L17" s="216"/>
      <c r="M17" s="216"/>
      <c r="N17" s="216"/>
      <c r="O17" s="214"/>
    </row>
    <row r="18" spans="1:15" ht="15.5" x14ac:dyDescent="0.35">
      <c r="A18" s="218"/>
      <c r="B18" s="216"/>
      <c r="C18" s="219"/>
      <c r="D18" s="216"/>
      <c r="E18" s="220"/>
      <c r="F18" s="216"/>
      <c r="G18" s="216"/>
      <c r="H18" s="216"/>
      <c r="I18" s="216"/>
      <c r="J18" s="211"/>
      <c r="K18" s="212"/>
      <c r="L18" s="216"/>
      <c r="M18" s="216"/>
      <c r="N18" s="216"/>
    </row>
    <row r="19" spans="1:15" x14ac:dyDescent="0.25">
      <c r="J19" s="211"/>
      <c r="K19" s="212"/>
    </row>
    <row r="20" spans="1:15" ht="13" x14ac:dyDescent="0.3">
      <c r="A20" s="221"/>
      <c r="J20" s="222"/>
      <c r="K20" s="212"/>
    </row>
    <row r="21" spans="1:15" ht="16" thickTop="1" x14ac:dyDescent="0.35">
      <c r="A21" s="158" t="s">
        <v>388</v>
      </c>
      <c r="B21" s="159"/>
      <c r="C21" s="159"/>
      <c r="D21" s="159"/>
      <c r="E21" s="159"/>
      <c r="F21" s="159"/>
      <c r="G21" s="159"/>
      <c r="H21" s="160"/>
      <c r="J21"/>
      <c r="K21"/>
    </row>
    <row r="22" spans="1:15" ht="26.5" thickBot="1" x14ac:dyDescent="0.35">
      <c r="A22" s="178" t="s">
        <v>238</v>
      </c>
      <c r="B22" s="179" t="s">
        <v>389</v>
      </c>
      <c r="C22" s="179" t="s">
        <v>243</v>
      </c>
      <c r="D22" s="179" t="s">
        <v>347</v>
      </c>
      <c r="E22" s="179" t="s">
        <v>390</v>
      </c>
      <c r="F22" s="179" t="s">
        <v>246</v>
      </c>
      <c r="G22" s="204" t="s">
        <v>247</v>
      </c>
      <c r="H22" s="205" t="s">
        <v>248</v>
      </c>
      <c r="K22" s="531" t="s">
        <v>254</v>
      </c>
      <c r="L22" s="531"/>
    </row>
    <row r="23" spans="1:15" ht="13.5" thickTop="1" x14ac:dyDescent="0.3">
      <c r="A23" s="206">
        <v>0</v>
      </c>
      <c r="B23" s="308">
        <f>'F-2 Estructura'!B31</f>
        <v>29358644.055316009</v>
      </c>
      <c r="C23" s="309">
        <f t="shared" ref="C23:C28" si="4">B23</f>
        <v>29358644.055316009</v>
      </c>
      <c r="D23" s="493">
        <v>0</v>
      </c>
      <c r="E23" s="309">
        <f>'F- CFyU'!B28</f>
        <v>0</v>
      </c>
      <c r="F23" s="309">
        <f t="shared" ref="F23:F28" si="5">E23</f>
        <v>0</v>
      </c>
      <c r="G23" s="310">
        <f t="shared" ref="G23:G28" si="6">F23-C23</f>
        <v>-29358644.055316009</v>
      </c>
      <c r="H23" s="311">
        <f>G23</f>
        <v>-29358644.055316009</v>
      </c>
      <c r="K23" s="537" t="s">
        <v>255</v>
      </c>
      <c r="L23" s="537"/>
    </row>
    <row r="24" spans="1:15" ht="13" x14ac:dyDescent="0.3">
      <c r="A24" s="207">
        <v>1</v>
      </c>
      <c r="B24" s="312">
        <f>'F-2 Estructura'!C31</f>
        <v>20169944.345248464</v>
      </c>
      <c r="C24" s="309">
        <f t="shared" si="4"/>
        <v>20169944.345248464</v>
      </c>
      <c r="D24" s="494">
        <v>0</v>
      </c>
      <c r="E24" s="230">
        <f>'F- CFyU'!C28</f>
        <v>6444384.5219571739</v>
      </c>
      <c r="F24" s="309">
        <f t="shared" si="5"/>
        <v>6444384.5219571739</v>
      </c>
      <c r="G24" s="310">
        <f t="shared" si="6"/>
        <v>-13725559.823291291</v>
      </c>
      <c r="H24" s="265">
        <f>G24+H23</f>
        <v>-43084203.878607303</v>
      </c>
      <c r="K24" s="139" t="s">
        <v>102</v>
      </c>
      <c r="L24" s="140" t="str">
        <f>IF(B12=J12,"OK","MAL")</f>
        <v>OK</v>
      </c>
    </row>
    <row r="25" spans="1:15" ht="13" x14ac:dyDescent="0.3">
      <c r="A25" s="207">
        <v>2</v>
      </c>
      <c r="B25" s="312">
        <v>0</v>
      </c>
      <c r="C25" s="309">
        <f t="shared" si="4"/>
        <v>0</v>
      </c>
      <c r="D25" s="494">
        <v>0</v>
      </c>
      <c r="E25" s="309">
        <f>'F- CFyU'!D28</f>
        <v>-754153.01353845</v>
      </c>
      <c r="F25" s="309">
        <f t="shared" si="5"/>
        <v>-754153.01353845</v>
      </c>
      <c r="G25" s="310">
        <f t="shared" si="6"/>
        <v>-754153.01353845</v>
      </c>
      <c r="H25" s="265">
        <f>G25+H24</f>
        <v>-43838356.892145753</v>
      </c>
      <c r="J25"/>
      <c r="K25" s="139" t="s">
        <v>256</v>
      </c>
      <c r="L25" s="140" t="str">
        <f>IF(D12=K12,"OK","MAL")</f>
        <v>OK</v>
      </c>
    </row>
    <row r="26" spans="1:15" ht="13" x14ac:dyDescent="0.3">
      <c r="A26" s="207">
        <v>3</v>
      </c>
      <c r="B26" s="312">
        <v>0</v>
      </c>
      <c r="C26" s="309">
        <f t="shared" si="4"/>
        <v>0</v>
      </c>
      <c r="D26" s="494">
        <v>0</v>
      </c>
      <c r="E26" s="230">
        <f>'F- CFyU'!E28</f>
        <v>2661300.0677126125</v>
      </c>
      <c r="F26" s="309">
        <f t="shared" si="5"/>
        <v>2661300.0677126125</v>
      </c>
      <c r="G26" s="310">
        <f t="shared" si="6"/>
        <v>2661300.0677126125</v>
      </c>
      <c r="H26" s="265">
        <f>G26+H25</f>
        <v>-41177056.82443314</v>
      </c>
      <c r="J26"/>
      <c r="K26" s="139" t="s">
        <v>257</v>
      </c>
      <c r="L26" s="140" t="str">
        <f>IF(C12=0,"OK","MAL")</f>
        <v>OK</v>
      </c>
    </row>
    <row r="27" spans="1:15" ht="13" x14ac:dyDescent="0.3">
      <c r="A27" s="207">
        <v>4</v>
      </c>
      <c r="B27" s="312">
        <v>0</v>
      </c>
      <c r="C27" s="309">
        <f t="shared" si="4"/>
        <v>0</v>
      </c>
      <c r="D27" s="494">
        <v>0</v>
      </c>
      <c r="E27" s="309">
        <f>'F- CFyU'!F28</f>
        <v>-749330.44198533706</v>
      </c>
      <c r="F27" s="309">
        <f t="shared" si="5"/>
        <v>-749330.44198533706</v>
      </c>
      <c r="G27" s="310">
        <f t="shared" si="6"/>
        <v>-749330.44198533706</v>
      </c>
      <c r="H27" s="265">
        <f>G27+H26</f>
        <v>-41926387.266418479</v>
      </c>
      <c r="J27"/>
      <c r="K27" s="139" t="s">
        <v>258</v>
      </c>
      <c r="L27" s="140" t="str">
        <f>IF((H12-F12-E12+I12)=M12,IF(M12=N10,"OK","MAL"),"MAL")</f>
        <v>OK</v>
      </c>
    </row>
    <row r="28" spans="1:15" ht="13" x14ac:dyDescent="0.3">
      <c r="A28" s="207">
        <v>5</v>
      </c>
      <c r="B28" s="312">
        <f>(B10+C10-'F- CFyU'!C8)</f>
        <v>-63718638.654817432</v>
      </c>
      <c r="C28" s="309">
        <f t="shared" si="4"/>
        <v>-63718638.654817432</v>
      </c>
      <c r="D28" s="494">
        <v>0</v>
      </c>
      <c r="E28" s="230">
        <f>'F- CFyU'!G28</f>
        <v>1919174.5969322175</v>
      </c>
      <c r="F28" s="309">
        <f t="shared" si="5"/>
        <v>1919174.5969322175</v>
      </c>
      <c r="G28" s="310">
        <f t="shared" si="6"/>
        <v>65637813.25174965</v>
      </c>
      <c r="H28" s="265">
        <f>G28+H27</f>
        <v>23711425.98533117</v>
      </c>
      <c r="J28"/>
      <c r="K28" s="537" t="s">
        <v>391</v>
      </c>
      <c r="L28" s="537"/>
      <c r="O28" s="542" t="s">
        <v>718</v>
      </c>
    </row>
    <row r="29" spans="1:15" ht="13" x14ac:dyDescent="0.3">
      <c r="A29" s="207"/>
      <c r="B29" s="124"/>
      <c r="C29" s="85"/>
      <c r="D29" s="414"/>
      <c r="E29" s="85"/>
      <c r="F29" s="85"/>
      <c r="G29" s="112"/>
      <c r="H29" s="86"/>
      <c r="J29"/>
      <c r="K29" s="139" t="s">
        <v>392</v>
      </c>
      <c r="L29" s="140" t="str">
        <f>IF((H12-E12-F12)=G30,"OK","MAL")</f>
        <v>MAL</v>
      </c>
      <c r="M29" s="490">
        <f>+H12-E12-F12</f>
        <v>39247388.323931389</v>
      </c>
      <c r="N29" s="495">
        <f>$G$30</f>
        <v>23711425.98533117</v>
      </c>
      <c r="O29" s="543">
        <f>+M29-N29</f>
        <v>15535962.338600218</v>
      </c>
    </row>
    <row r="30" spans="1:15" ht="13.5" thickBot="1" x14ac:dyDescent="0.35">
      <c r="A30" s="208" t="s">
        <v>249</v>
      </c>
      <c r="B30" s="127">
        <f t="shared" ref="B30:F30" si="7">SUM(B23:B29)</f>
        <v>-14190050.254252955</v>
      </c>
      <c r="C30" s="127">
        <f t="shared" si="7"/>
        <v>-14190050.254252955</v>
      </c>
      <c r="D30" s="413">
        <f t="shared" si="7"/>
        <v>0</v>
      </c>
      <c r="E30" s="127">
        <f t="shared" si="7"/>
        <v>9521375.7310782168</v>
      </c>
      <c r="F30" s="127">
        <f t="shared" si="7"/>
        <v>9521375.7310782168</v>
      </c>
      <c r="G30" s="411">
        <f>SUM(G23:G29)</f>
        <v>23711425.98533117</v>
      </c>
      <c r="H30" s="71"/>
      <c r="K30" s="139" t="s">
        <v>393</v>
      </c>
      <c r="L30" s="140" t="str">
        <f>IF(('F- CFyU'!H28-'F- CFyU'!H7-'F- CFyU'!H8+'F- CFyU'!H14-'F- CFyU'!H25+'F- CFyU'!H15)='F- Form'!G30,"OK","MAL")</f>
        <v>MAL</v>
      </c>
      <c r="M30" s="490">
        <f>+('F- CFyU'!H28-'F- CFyU'!H7-'F- CFyU'!H8+'F- CFyU'!H14-'F- CFyU'!H25+'F- CFyU'!H15)</f>
        <v>23507453.983278133</v>
      </c>
      <c r="N30" s="495">
        <f t="shared" ref="N30:N33" si="8">$G$30</f>
        <v>23711425.98533117</v>
      </c>
      <c r="O30" s="543">
        <f t="shared" ref="O30:O33" si="9">+M30-N30</f>
        <v>-203972.00205303729</v>
      </c>
    </row>
    <row r="31" spans="1:15" ht="13.5" thickTop="1" x14ac:dyDescent="0.3">
      <c r="K31" s="139" t="s">
        <v>394</v>
      </c>
      <c r="L31" s="140" t="str">
        <f>IF('F-CRes'!G14=G30,"OK","MAL")</f>
        <v>MAL</v>
      </c>
      <c r="M31" s="490">
        <f>+'F-CRes'!G14</f>
        <v>39247388.323931389</v>
      </c>
      <c r="N31" s="495">
        <f t="shared" si="8"/>
        <v>23711425.98533117</v>
      </c>
      <c r="O31" s="543">
        <f t="shared" si="9"/>
        <v>15535962.338600218</v>
      </c>
    </row>
    <row r="32" spans="1:15" ht="13" x14ac:dyDescent="0.3">
      <c r="K32" s="139" t="s">
        <v>395</v>
      </c>
      <c r="L32" s="140" t="str">
        <f>IF(('F-Balance'!G33+'F-Balance'!G34)='F- Form'!G30,"OK","MAL")</f>
        <v>MAL</v>
      </c>
      <c r="M32" s="490">
        <f>+'F-Balance'!G33+'F-Balance'!G34</f>
        <v>39247388.323931389</v>
      </c>
      <c r="N32" s="495">
        <f t="shared" si="8"/>
        <v>23711425.98533117</v>
      </c>
      <c r="O32" s="543">
        <f t="shared" si="9"/>
        <v>15535962.338600218</v>
      </c>
    </row>
    <row r="33" spans="3:15" ht="13" x14ac:dyDescent="0.3">
      <c r="C33" s="209" t="s">
        <v>250</v>
      </c>
      <c r="D33" s="412">
        <f>H28</f>
        <v>23711425.98533117</v>
      </c>
      <c r="E33" s="157" t="s">
        <v>396</v>
      </c>
      <c r="K33" s="139" t="s">
        <v>397</v>
      </c>
      <c r="L33" s="140" t="str">
        <f>IF(('F- CFyU'!H10-'F- CFyU'!H16-'F- CFyU'!H19-'F- CFyU'!H17)=G30,"OK","MAL")</f>
        <v>MAL</v>
      </c>
      <c r="M33" s="490">
        <f>+'F- CFyU'!H10-'F- CFyU'!H16-'F- CFyU'!H19-'F- CFyU'!H17</f>
        <v>39247388.323931381</v>
      </c>
      <c r="N33" s="495">
        <f t="shared" si="8"/>
        <v>23711425.98533117</v>
      </c>
      <c r="O33" s="543">
        <f t="shared" si="9"/>
        <v>15535962.338600211</v>
      </c>
    </row>
    <row r="34" spans="3:15" ht="13" x14ac:dyDescent="0.3">
      <c r="C34" s="209" t="s">
        <v>251</v>
      </c>
      <c r="D34" s="539">
        <f>4+(-H27/G28)</f>
        <v>4.6387535658083623</v>
      </c>
      <c r="E34" s="157" t="s">
        <v>398</v>
      </c>
      <c r="K34" s="537" t="s">
        <v>399</v>
      </c>
      <c r="L34" s="537"/>
      <c r="O34" s="542"/>
    </row>
    <row r="35" spans="3:15" ht="13" x14ac:dyDescent="0.3">
      <c r="C35" s="209" t="s">
        <v>717</v>
      </c>
      <c r="D35" s="410">
        <f>+IRR(G23:G28)</f>
        <v>9.8778942067169195E-2</v>
      </c>
      <c r="K35" s="139" t="s">
        <v>400</v>
      </c>
      <c r="L35" s="140" t="str">
        <f>IF(SUM('F-Balance'!B35:G35)=SUM('F-Balance'!B24:G24),"OK","MAL")</f>
        <v>OK</v>
      </c>
    </row>
    <row r="36" spans="3:15" x14ac:dyDescent="0.25">
      <c r="D36" s="137"/>
    </row>
  </sheetData>
  <sheetProtection selectLockedCells="1" selectUnlockedCells="1"/>
  <mergeCells count="4">
    <mergeCell ref="K22:L22"/>
    <mergeCell ref="K23:L23"/>
    <mergeCell ref="K28:L28"/>
    <mergeCell ref="K34:L34"/>
  </mergeCells>
  <conditionalFormatting sqref="L24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5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6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7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29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0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1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2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3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5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opLeftCell="A40" zoomScaleNormal="100" workbookViewId="0">
      <selection activeCell="D53" sqref="D53"/>
    </sheetView>
  </sheetViews>
  <sheetFormatPr baseColWidth="10" defaultColWidth="11.26953125" defaultRowHeight="12.5" x14ac:dyDescent="0.25"/>
  <cols>
    <col min="1" max="1" width="55.26953125" style="15" customWidth="1"/>
    <col min="2" max="2" width="16" style="15" bestFit="1" customWidth="1"/>
    <col min="3" max="6" width="14.7265625" style="15" customWidth="1"/>
    <col min="7" max="7" width="17.1796875" style="15" bestFit="1" customWidth="1"/>
    <col min="8" max="8" width="11.26953125" style="15"/>
    <col min="9" max="9" width="26.1796875" style="15" bestFit="1" customWidth="1"/>
    <col min="10" max="16384" width="11.26953125" style="15"/>
  </cols>
  <sheetData>
    <row r="1" spans="1:11" ht="13" x14ac:dyDescent="0.3">
      <c r="A1" s="1" t="s">
        <v>49</v>
      </c>
      <c r="B1"/>
      <c r="C1"/>
      <c r="D1"/>
      <c r="E1" s="2">
        <f>InfoInicial!E1</f>
        <v>2</v>
      </c>
    </row>
    <row r="3" spans="1:11" ht="15.5" x14ac:dyDescent="0.35">
      <c r="A3" s="16" t="s">
        <v>50</v>
      </c>
      <c r="B3" s="502" t="s">
        <v>51</v>
      </c>
      <c r="C3" s="502"/>
      <c r="D3" s="503" t="s">
        <v>52</v>
      </c>
      <c r="E3" s="503"/>
      <c r="J3" s="255"/>
    </row>
    <row r="4" spans="1:11" ht="15.5" x14ac:dyDescent="0.35">
      <c r="A4" s="19"/>
      <c r="B4" s="20" t="s">
        <v>53</v>
      </c>
      <c r="C4" s="20" t="s">
        <v>54</v>
      </c>
      <c r="D4" s="20" t="s">
        <v>53</v>
      </c>
      <c r="E4" s="21" t="s">
        <v>54</v>
      </c>
      <c r="J4" s="256"/>
    </row>
    <row r="5" spans="1:11" ht="13" thickTop="1" x14ac:dyDescent="0.25">
      <c r="A5" s="22"/>
      <c r="B5" s="23"/>
      <c r="C5" s="23"/>
      <c r="D5" s="23"/>
      <c r="E5" s="23"/>
    </row>
    <row r="6" spans="1:11" ht="13" x14ac:dyDescent="0.3">
      <c r="A6" s="24" t="s">
        <v>55</v>
      </c>
      <c r="B6" s="25"/>
      <c r="C6" s="25"/>
      <c r="D6" s="25"/>
      <c r="E6" s="25"/>
    </row>
    <row r="7" spans="1:11" x14ac:dyDescent="0.25">
      <c r="A7" s="26" t="s">
        <v>56</v>
      </c>
      <c r="B7" s="263">
        <f>InfoInicial!B27*InfoInicial!B30*InfoInicial!B32</f>
        <v>36616000</v>
      </c>
      <c r="C7" s="263"/>
      <c r="D7" s="263"/>
      <c r="E7" s="263"/>
      <c r="I7" s="257"/>
    </row>
    <row r="8" spans="1:11" x14ac:dyDescent="0.25">
      <c r="A8" s="26" t="s">
        <v>57</v>
      </c>
      <c r="B8" s="263">
        <f>+'Detalles AF'!J33*InfoInicial!B27</f>
        <v>4140000</v>
      </c>
      <c r="C8" s="263"/>
      <c r="D8" s="263"/>
      <c r="E8" s="263"/>
    </row>
    <row r="9" spans="1:11" x14ac:dyDescent="0.25">
      <c r="A9" s="26" t="s">
        <v>58</v>
      </c>
      <c r="B9" s="263">
        <f>B8*0.8</f>
        <v>3312000</v>
      </c>
      <c r="C9" s="263"/>
      <c r="D9" s="263"/>
      <c r="E9" s="263"/>
      <c r="H9" s="341"/>
      <c r="I9" s="15" t="s">
        <v>618</v>
      </c>
    </row>
    <row r="10" spans="1:11" x14ac:dyDescent="0.25">
      <c r="A10" s="26" t="s">
        <v>59</v>
      </c>
      <c r="B10" s="263"/>
      <c r="E10" s="263"/>
      <c r="J10" s="256"/>
      <c r="K10" s="258"/>
    </row>
    <row r="11" spans="1:11" x14ac:dyDescent="0.25">
      <c r="A11" s="26" t="s">
        <v>60</v>
      </c>
      <c r="B11" s="340">
        <v>150000</v>
      </c>
      <c r="C11" s="263"/>
      <c r="D11" s="263">
        <f>+SUM('Detalles AF'!J40:J47)*(1+'Detalles AF'!J53)</f>
        <v>4737600</v>
      </c>
      <c r="E11" s="263"/>
      <c r="J11" s="256"/>
      <c r="K11" s="258"/>
    </row>
    <row r="12" spans="1:11" x14ac:dyDescent="0.25">
      <c r="A12" s="26" t="s">
        <v>61</v>
      </c>
      <c r="B12" s="263"/>
      <c r="C12" s="263"/>
      <c r="D12" s="263"/>
      <c r="E12" s="263"/>
      <c r="J12" s="256"/>
      <c r="K12" s="258"/>
    </row>
    <row r="13" spans="1:11" x14ac:dyDescent="0.25">
      <c r="A13" s="28" t="s">
        <v>62</v>
      </c>
      <c r="B13" s="263">
        <f>+D11*'Detalles AF'!J55</f>
        <v>710640</v>
      </c>
      <c r="C13" s="263"/>
      <c r="D13" s="263"/>
      <c r="E13" s="263"/>
      <c r="J13" s="256"/>
      <c r="K13" s="258"/>
    </row>
    <row r="14" spans="1:11" x14ac:dyDescent="0.25">
      <c r="A14" s="26" t="s">
        <v>63</v>
      </c>
      <c r="B14" s="263">
        <f>5*'Detalles AF'!J57+D11*'Detalles AF'!J59</f>
        <v>296880</v>
      </c>
      <c r="C14" s="263"/>
      <c r="D14" s="263"/>
      <c r="E14" s="263"/>
      <c r="J14" s="256"/>
      <c r="K14" s="258"/>
    </row>
    <row r="15" spans="1:11" x14ac:dyDescent="0.25">
      <c r="A15" s="26" t="s">
        <v>64</v>
      </c>
      <c r="B15" s="27">
        <f>'Aux E-Costos'!J164</f>
        <v>1800000</v>
      </c>
      <c r="C15" s="263"/>
      <c r="D15" s="263"/>
      <c r="E15" s="263"/>
      <c r="J15" s="256"/>
      <c r="K15" s="258"/>
    </row>
    <row r="16" spans="1:11" x14ac:dyDescent="0.25">
      <c r="A16" s="26" t="s">
        <v>65</v>
      </c>
      <c r="B16" s="340">
        <v>250000</v>
      </c>
      <c r="C16" s="263"/>
      <c r="D16" s="263"/>
      <c r="E16" s="263"/>
      <c r="J16" s="256"/>
      <c r="K16" s="258"/>
    </row>
    <row r="17" spans="1:14" x14ac:dyDescent="0.25">
      <c r="A17" s="26" t="s">
        <v>66</v>
      </c>
      <c r="B17" s="263">
        <v>0</v>
      </c>
      <c r="C17" s="263"/>
      <c r="D17" s="263"/>
      <c r="E17" s="263"/>
      <c r="J17" s="256"/>
      <c r="K17" s="258"/>
    </row>
    <row r="18" spans="1:14" x14ac:dyDescent="0.25">
      <c r="A18" s="26" t="s">
        <v>21</v>
      </c>
      <c r="B18" s="27">
        <f>SUM(B7:B17)*InfoInicial!B15</f>
        <v>1891020.8</v>
      </c>
      <c r="C18" s="27"/>
      <c r="D18" s="27">
        <f>D11*InfoInicial!B15</f>
        <v>189504</v>
      </c>
      <c r="E18" s="27"/>
      <c r="J18" s="256"/>
      <c r="K18" s="258"/>
      <c r="N18" s="258"/>
    </row>
    <row r="19" spans="1:14" x14ac:dyDescent="0.25">
      <c r="A19" s="26"/>
      <c r="B19" s="27"/>
      <c r="C19" s="27"/>
      <c r="D19" s="27"/>
      <c r="E19" s="27"/>
      <c r="J19" s="256"/>
      <c r="K19" s="258"/>
    </row>
    <row r="20" spans="1:14" ht="13" x14ac:dyDescent="0.3">
      <c r="A20" s="24" t="s">
        <v>67</v>
      </c>
      <c r="B20" s="27">
        <f>SUM(B7:B18)</f>
        <v>49166540.799999997</v>
      </c>
      <c r="C20" s="27"/>
      <c r="D20" s="27">
        <f>SUM(D7:D18)</f>
        <v>4927104</v>
      </c>
      <c r="E20" s="27"/>
      <c r="J20" s="256"/>
      <c r="K20" s="258"/>
    </row>
    <row r="21" spans="1:14" x14ac:dyDescent="0.25">
      <c r="A21" s="26"/>
      <c r="B21" s="29"/>
      <c r="C21" s="29"/>
      <c r="D21" s="29"/>
      <c r="E21" s="29"/>
      <c r="J21" s="256"/>
      <c r="K21" s="258"/>
    </row>
    <row r="22" spans="1:14" ht="13" x14ac:dyDescent="0.3">
      <c r="A22" s="24" t="s">
        <v>68</v>
      </c>
      <c r="B22" s="29"/>
      <c r="C22" s="29"/>
      <c r="D22" s="29"/>
      <c r="E22" s="29"/>
      <c r="J22" s="256"/>
      <c r="K22" s="258"/>
    </row>
    <row r="23" spans="1:14" x14ac:dyDescent="0.25">
      <c r="A23" s="26" t="s">
        <v>69</v>
      </c>
      <c r="B23" s="361">
        <v>100000</v>
      </c>
      <c r="C23" s="264"/>
      <c r="D23" s="264"/>
      <c r="E23" s="264"/>
      <c r="J23" s="259"/>
      <c r="K23" s="260"/>
      <c r="N23" s="256"/>
    </row>
    <row r="24" spans="1:14" x14ac:dyDescent="0.25">
      <c r="A24" s="26" t="s">
        <v>70</v>
      </c>
      <c r="B24" s="361">
        <v>21680</v>
      </c>
      <c r="C24" s="264"/>
      <c r="D24" s="264"/>
      <c r="E24" s="264"/>
    </row>
    <row r="25" spans="1:14" x14ac:dyDescent="0.25">
      <c r="A25" s="26" t="s">
        <v>71</v>
      </c>
      <c r="B25" s="361">
        <v>20000</v>
      </c>
      <c r="C25" s="264"/>
      <c r="D25" s="264"/>
      <c r="E25" s="264"/>
      <c r="J25" s="259"/>
      <c r="K25" s="260"/>
    </row>
    <row r="26" spans="1:14" x14ac:dyDescent="0.25">
      <c r="A26" s="28" t="s">
        <v>72</v>
      </c>
      <c r="B26" s="361"/>
      <c r="C26" s="361">
        <v>150000</v>
      </c>
      <c r="D26" s="264"/>
      <c r="E26" s="264"/>
    </row>
    <row r="27" spans="1:14" x14ac:dyDescent="0.25">
      <c r="A27" s="28" t="s">
        <v>73</v>
      </c>
      <c r="B27" s="361">
        <v>15000</v>
      </c>
      <c r="C27" s="264"/>
      <c r="D27" s="264"/>
      <c r="E27" s="264"/>
      <c r="J27" s="256"/>
      <c r="K27" s="260"/>
    </row>
    <row r="28" spans="1:14" x14ac:dyDescent="0.25">
      <c r="A28" s="28" t="s">
        <v>74</v>
      </c>
      <c r="B28" s="361" t="s">
        <v>401</v>
      </c>
      <c r="C28" s="264"/>
      <c r="D28" s="264"/>
      <c r="E28" s="264"/>
    </row>
    <row r="29" spans="1:14" x14ac:dyDescent="0.25">
      <c r="A29" s="26" t="s">
        <v>21</v>
      </c>
      <c r="B29" s="229">
        <f>SUM(B23:B27)*InfoInicial!B15</f>
        <v>6267.2</v>
      </c>
      <c r="C29" s="229">
        <f>SUM(C23:C27)*InfoInicial!C15</f>
        <v>0</v>
      </c>
      <c r="D29" s="27"/>
      <c r="E29" s="27"/>
      <c r="J29" s="261"/>
      <c r="K29" s="260"/>
    </row>
    <row r="30" spans="1:14" x14ac:dyDescent="0.25">
      <c r="A30" s="26"/>
      <c r="B30" s="27"/>
      <c r="C30" s="27"/>
      <c r="D30" s="27"/>
      <c r="E30" s="27"/>
    </row>
    <row r="31" spans="1:14" ht="13" x14ac:dyDescent="0.3">
      <c r="A31" s="24" t="s">
        <v>75</v>
      </c>
      <c r="B31" s="27">
        <f>SUM(B23:B29)</f>
        <v>162947.20000000001</v>
      </c>
      <c r="C31" s="27">
        <f>SUM(C23:C29)</f>
        <v>150000</v>
      </c>
      <c r="D31" s="27"/>
      <c r="E31" s="27"/>
      <c r="J31" s="259"/>
      <c r="K31" s="260"/>
    </row>
    <row r="32" spans="1:14" x14ac:dyDescent="0.25">
      <c r="A32" s="26"/>
      <c r="B32" s="29"/>
      <c r="C32" s="29"/>
      <c r="D32" s="29"/>
      <c r="E32" s="29"/>
      <c r="J32" s="262"/>
    </row>
    <row r="33" spans="1:11" ht="13" x14ac:dyDescent="0.3">
      <c r="A33" s="24" t="s">
        <v>76</v>
      </c>
      <c r="B33" s="27">
        <f>B20+B31</f>
        <v>49329488</v>
      </c>
      <c r="C33" s="27">
        <f>C20+C31</f>
        <v>150000</v>
      </c>
      <c r="D33" s="27">
        <f>D20+D31</f>
        <v>4927104</v>
      </c>
      <c r="E33" s="27"/>
      <c r="J33" s="256"/>
      <c r="K33" s="260"/>
    </row>
    <row r="34" spans="1:11" ht="13" x14ac:dyDescent="0.3">
      <c r="A34" s="24" t="s">
        <v>77</v>
      </c>
      <c r="B34" s="27">
        <f>B33*InfoInicial!$B$3</f>
        <v>10359192.48</v>
      </c>
      <c r="C34" s="27">
        <f>C33*InfoInicial!$B$3</f>
        <v>31500</v>
      </c>
      <c r="D34" s="27">
        <f>D33*InfoInicial!$B$3</f>
        <v>1034691.84</v>
      </c>
      <c r="E34" s="27"/>
    </row>
    <row r="35" spans="1:11" x14ac:dyDescent="0.25">
      <c r="A35" s="26"/>
      <c r="B35" s="29"/>
      <c r="C35" s="29"/>
      <c r="D35" s="29"/>
      <c r="E35" s="29"/>
    </row>
    <row r="36" spans="1:11" ht="13.5" thickBot="1" x14ac:dyDescent="0.35">
      <c r="A36" s="30" t="s">
        <v>78</v>
      </c>
      <c r="B36" s="31">
        <f>B33+B34</f>
        <v>59688680.480000004</v>
      </c>
      <c r="C36" s="31">
        <f>C33+C34</f>
        <v>181500</v>
      </c>
      <c r="D36" s="31">
        <f>D33+D34</f>
        <v>5961795.8399999999</v>
      </c>
      <c r="E36" s="31"/>
    </row>
    <row r="37" spans="1:11" ht="13" thickTop="1" x14ac:dyDescent="0.25"/>
    <row r="39" spans="1:11" ht="13" x14ac:dyDescent="0.3">
      <c r="A39" s="32" t="s">
        <v>79</v>
      </c>
      <c r="B39" s="17" t="s">
        <v>80</v>
      </c>
      <c r="C39" s="17" t="s">
        <v>81</v>
      </c>
      <c r="D39" s="502" t="s">
        <v>82</v>
      </c>
      <c r="E39" s="502"/>
      <c r="F39" s="502"/>
      <c r="G39" s="33" t="s">
        <v>83</v>
      </c>
    </row>
    <row r="40" spans="1:11" ht="13" x14ac:dyDescent="0.3">
      <c r="A40" s="34"/>
      <c r="B40" s="20" t="s">
        <v>84</v>
      </c>
      <c r="C40" s="20"/>
      <c r="D40" s="20" t="s">
        <v>85</v>
      </c>
      <c r="E40" s="20" t="s">
        <v>86</v>
      </c>
      <c r="F40" s="20"/>
      <c r="G40" s="35"/>
    </row>
    <row r="41" spans="1:11" ht="13" x14ac:dyDescent="0.3">
      <c r="A41" s="36" t="s">
        <v>87</v>
      </c>
      <c r="B41" s="37"/>
      <c r="C41" s="37"/>
      <c r="D41" s="37"/>
      <c r="E41" s="37"/>
      <c r="F41" s="38"/>
      <c r="G41" s="39"/>
    </row>
    <row r="42" spans="1:11" ht="13" x14ac:dyDescent="0.3">
      <c r="A42" s="40"/>
      <c r="B42" s="41"/>
      <c r="C42" s="41"/>
      <c r="D42" s="41"/>
      <c r="E42" s="41"/>
      <c r="F42" s="42"/>
      <c r="G42" s="43"/>
    </row>
    <row r="43" spans="1:11" x14ac:dyDescent="0.25">
      <c r="A43" s="26" t="s">
        <v>56</v>
      </c>
      <c r="B43" s="263">
        <f>+B7</f>
        <v>36616000</v>
      </c>
      <c r="C43" s="27"/>
      <c r="D43" s="27"/>
      <c r="E43" s="27"/>
      <c r="F43" s="27"/>
      <c r="G43" s="44">
        <f>B43-(D43*3)-(2*E43)</f>
        <v>36616000</v>
      </c>
    </row>
    <row r="44" spans="1:11" x14ac:dyDescent="0.25">
      <c r="A44" s="26" t="s">
        <v>57</v>
      </c>
      <c r="B44" s="263">
        <f>+B8</f>
        <v>4140000</v>
      </c>
      <c r="C44" s="223">
        <v>3.3333333333333298E-2</v>
      </c>
      <c r="D44" s="27">
        <f>B44*C44</f>
        <v>137999.99999999985</v>
      </c>
      <c r="E44" s="27">
        <f t="shared" ref="E44:E49" si="0">B44*C44</f>
        <v>137999.99999999985</v>
      </c>
      <c r="F44" s="27"/>
      <c r="G44" s="44">
        <f>B44-(D44*3)-(2*E44)</f>
        <v>3450000.0000000009</v>
      </c>
    </row>
    <row r="45" spans="1:11" x14ac:dyDescent="0.25">
      <c r="A45" s="26" t="s">
        <v>58</v>
      </c>
      <c r="B45" s="263">
        <f>+B9</f>
        <v>3312000</v>
      </c>
      <c r="C45" s="27">
        <v>0.1</v>
      </c>
      <c r="D45" s="27">
        <f t="shared" ref="D45:D50" si="1">B45*C45</f>
        <v>331200</v>
      </c>
      <c r="E45" s="27">
        <f t="shared" si="0"/>
        <v>331200</v>
      </c>
      <c r="F45" s="27"/>
      <c r="G45" s="44">
        <f t="shared" ref="G45:G50" si="2">B45-(D45*3)-(2*E45)</f>
        <v>1656000</v>
      </c>
    </row>
    <row r="46" spans="1:11" x14ac:dyDescent="0.25">
      <c r="A46" s="28" t="s">
        <v>59</v>
      </c>
      <c r="B46" s="263">
        <f>+D11+B13+B14</f>
        <v>5745120</v>
      </c>
      <c r="C46" s="27">
        <v>0.1</v>
      </c>
      <c r="D46" s="27">
        <f t="shared" si="1"/>
        <v>574512</v>
      </c>
      <c r="E46" s="27">
        <f t="shared" si="0"/>
        <v>574512</v>
      </c>
      <c r="F46" s="27"/>
      <c r="G46" s="44">
        <f t="shared" si="2"/>
        <v>2872560</v>
      </c>
    </row>
    <row r="47" spans="1:11" x14ac:dyDescent="0.25">
      <c r="A47" s="28" t="s">
        <v>64</v>
      </c>
      <c r="B47" s="263">
        <f>+B15</f>
        <v>1800000</v>
      </c>
      <c r="C47" s="27">
        <v>0.2</v>
      </c>
      <c r="D47" s="27">
        <f t="shared" si="1"/>
        <v>360000</v>
      </c>
      <c r="E47" s="27">
        <f t="shared" si="0"/>
        <v>360000</v>
      </c>
      <c r="F47" s="27"/>
      <c r="G47" s="44">
        <f t="shared" si="2"/>
        <v>0</v>
      </c>
    </row>
    <row r="48" spans="1:11" x14ac:dyDescent="0.25">
      <c r="A48" s="28" t="s">
        <v>65</v>
      </c>
      <c r="B48" s="263">
        <f>+B16</f>
        <v>250000</v>
      </c>
      <c r="C48" s="27">
        <v>0.2</v>
      </c>
      <c r="D48" s="27">
        <f t="shared" si="1"/>
        <v>50000</v>
      </c>
      <c r="E48" s="27">
        <f t="shared" si="0"/>
        <v>50000</v>
      </c>
      <c r="F48" s="27"/>
      <c r="G48" s="44">
        <f t="shared" si="2"/>
        <v>0</v>
      </c>
    </row>
    <row r="49" spans="1:9" x14ac:dyDescent="0.25">
      <c r="A49" s="28" t="s">
        <v>21</v>
      </c>
      <c r="B49" s="263">
        <f>+B18+D18</f>
        <v>2080524.8</v>
      </c>
      <c r="C49" s="27">
        <v>0.2</v>
      </c>
      <c r="D49" s="27">
        <f t="shared" si="1"/>
        <v>416104.96000000002</v>
      </c>
      <c r="E49" s="27">
        <f t="shared" si="0"/>
        <v>416104.96000000002</v>
      </c>
      <c r="F49" s="27"/>
      <c r="G49" s="44">
        <f t="shared" si="2"/>
        <v>0</v>
      </c>
    </row>
    <row r="50" spans="1:9" x14ac:dyDescent="0.25">
      <c r="A50" s="28" t="s">
        <v>88</v>
      </c>
      <c r="B50" s="340">
        <v>150000</v>
      </c>
      <c r="C50" s="275">
        <v>0.33333333333333331</v>
      </c>
      <c r="D50" s="27">
        <f t="shared" si="1"/>
        <v>50000</v>
      </c>
      <c r="E50" s="264">
        <v>0</v>
      </c>
      <c r="F50" s="27"/>
      <c r="G50" s="44">
        <f t="shared" si="2"/>
        <v>0</v>
      </c>
    </row>
    <row r="51" spans="1:9" ht="13" x14ac:dyDescent="0.3">
      <c r="A51" s="45" t="s">
        <v>89</v>
      </c>
      <c r="B51" s="263">
        <f>SUM(B43:B50)</f>
        <v>54093644.799999997</v>
      </c>
      <c r="C51" s="27"/>
      <c r="D51" s="27">
        <f>SUM(D44:D50)</f>
        <v>1919816.96</v>
      </c>
      <c r="E51" s="275">
        <f>SUM(E44:E50)</f>
        <v>1869816.96</v>
      </c>
      <c r="F51" s="27"/>
      <c r="G51" s="44">
        <f>SUM(G43:G50)</f>
        <v>44594560</v>
      </c>
    </row>
    <row r="52" spans="1:9" ht="13" x14ac:dyDescent="0.3">
      <c r="A52" s="24"/>
      <c r="B52" s="46"/>
      <c r="C52" s="47"/>
      <c r="D52" s="48"/>
      <c r="E52" s="48"/>
      <c r="F52" s="48"/>
      <c r="G52" s="49"/>
    </row>
    <row r="53" spans="1:9" ht="13" x14ac:dyDescent="0.3">
      <c r="A53" s="45" t="s">
        <v>90</v>
      </c>
      <c r="B53" s="27">
        <f>SUM(B31:C31)</f>
        <v>312947.20000000001</v>
      </c>
      <c r="C53" s="27">
        <f>1/InfoInicial!B14</f>
        <v>0.2</v>
      </c>
      <c r="D53" s="27">
        <f>B53*C53</f>
        <v>62589.440000000002</v>
      </c>
      <c r="E53" s="27">
        <f>$D$53</f>
        <v>62589.440000000002</v>
      </c>
      <c r="F53" s="27"/>
      <c r="G53" s="44"/>
    </row>
    <row r="54" spans="1:9" ht="13" x14ac:dyDescent="0.3">
      <c r="A54" s="45"/>
      <c r="B54" s="27"/>
      <c r="C54" s="27"/>
      <c r="D54" s="27"/>
      <c r="E54" s="27"/>
      <c r="F54" s="27"/>
      <c r="G54" s="44"/>
    </row>
    <row r="55" spans="1:9" ht="13" x14ac:dyDescent="0.3">
      <c r="A55" s="24"/>
      <c r="B55" s="25"/>
      <c r="C55" s="25"/>
      <c r="D55" s="50"/>
      <c r="E55" s="51"/>
      <c r="F55" s="51"/>
      <c r="G55" s="52"/>
      <c r="H55" s="53"/>
      <c r="I55" s="53"/>
    </row>
    <row r="56" spans="1:9" ht="13.5" thickBot="1" x14ac:dyDescent="0.35">
      <c r="A56" s="30" t="s">
        <v>91</v>
      </c>
      <c r="B56" s="31">
        <f>SUM(B51,B53)</f>
        <v>54406592</v>
      </c>
      <c r="C56" s="31"/>
      <c r="D56" s="31">
        <f>SUM(D51,D53)</f>
        <v>1982406.4</v>
      </c>
      <c r="E56" s="31">
        <f>SUM(E51,E53)</f>
        <v>1932406.4</v>
      </c>
      <c r="F56" s="31"/>
      <c r="G56" s="31">
        <f>SUM(G51,G53)</f>
        <v>44594560</v>
      </c>
      <c r="H56" s="55"/>
      <c r="I56" s="55"/>
    </row>
    <row r="57" spans="1:9" ht="13" thickTop="1" x14ac:dyDescent="0.25">
      <c r="B57" s="301"/>
    </row>
    <row r="59" spans="1:9" x14ac:dyDescent="0.25">
      <c r="B59" s="301"/>
      <c r="D59" s="301"/>
    </row>
    <row r="61" spans="1:9" x14ac:dyDescent="0.25">
      <c r="B61" s="301"/>
    </row>
    <row r="63" spans="1:9" x14ac:dyDescent="0.25">
      <c r="B63" s="301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M65"/>
  <sheetViews>
    <sheetView topLeftCell="A40" workbookViewId="0">
      <selection activeCell="J63" sqref="J63"/>
    </sheetView>
  </sheetViews>
  <sheetFormatPr baseColWidth="10" defaultRowHeight="12.5" x14ac:dyDescent="0.25"/>
  <cols>
    <col min="10" max="10" width="12.81640625" bestFit="1" customWidth="1"/>
    <col min="11" max="11" width="11" bestFit="1" customWidth="1"/>
  </cols>
  <sheetData>
    <row r="7" spans="3:8" x14ac:dyDescent="0.25">
      <c r="C7" s="295"/>
      <c r="D7" s="295"/>
      <c r="E7" s="295"/>
      <c r="F7" s="295"/>
      <c r="G7" s="295"/>
      <c r="H7" s="295"/>
    </row>
    <row r="8" spans="3:8" x14ac:dyDescent="0.25">
      <c r="C8" s="295"/>
      <c r="D8" s="295"/>
      <c r="E8" s="295"/>
      <c r="F8" s="255"/>
      <c r="G8" s="295"/>
      <c r="H8" s="295"/>
    </row>
    <row r="9" spans="3:8" x14ac:dyDescent="0.25">
      <c r="C9" s="295"/>
      <c r="D9" s="295"/>
      <c r="E9" s="295"/>
      <c r="F9" s="256"/>
      <c r="G9" s="295"/>
      <c r="H9" s="295"/>
    </row>
    <row r="10" spans="3:8" x14ac:dyDescent="0.25">
      <c r="C10" s="295"/>
      <c r="D10" s="295"/>
      <c r="E10" s="295"/>
      <c r="F10" s="295"/>
      <c r="G10" s="295"/>
      <c r="H10" s="295"/>
    </row>
    <row r="11" spans="3:8" x14ac:dyDescent="0.25">
      <c r="C11" s="295"/>
      <c r="D11" s="295"/>
      <c r="E11" s="295"/>
      <c r="F11" s="295"/>
      <c r="G11" s="295"/>
      <c r="H11" s="295"/>
    </row>
    <row r="12" spans="3:8" x14ac:dyDescent="0.25">
      <c r="C12" s="295"/>
      <c r="D12" s="295"/>
      <c r="E12" s="257"/>
      <c r="F12" s="295"/>
      <c r="G12" s="295"/>
      <c r="H12" s="295"/>
    </row>
    <row r="13" spans="3:8" x14ac:dyDescent="0.25">
      <c r="C13" s="295"/>
      <c r="D13" s="295"/>
      <c r="E13" s="295"/>
      <c r="F13" s="295"/>
      <c r="G13" s="295"/>
      <c r="H13" s="295"/>
    </row>
    <row r="14" spans="3:8" x14ac:dyDescent="0.25">
      <c r="C14" s="295"/>
      <c r="D14" s="295"/>
      <c r="E14" s="295"/>
      <c r="F14" s="295"/>
      <c r="G14" s="295"/>
      <c r="H14" s="295"/>
    </row>
    <row r="15" spans="3:8" x14ac:dyDescent="0.25">
      <c r="C15" s="295"/>
      <c r="D15" s="295"/>
      <c r="E15" s="295"/>
      <c r="F15" s="256"/>
      <c r="G15" s="258"/>
      <c r="H15" s="295"/>
    </row>
    <row r="16" spans="3:8" x14ac:dyDescent="0.25">
      <c r="C16" s="295"/>
      <c r="D16" s="295"/>
      <c r="E16" s="295"/>
      <c r="F16" s="256"/>
      <c r="G16" s="258"/>
      <c r="H16" s="295"/>
    </row>
    <row r="17" spans="3:11" x14ac:dyDescent="0.25">
      <c r="C17" s="295"/>
      <c r="D17" s="295"/>
      <c r="E17" s="295"/>
      <c r="F17" s="256"/>
      <c r="G17" s="258"/>
      <c r="H17" s="295"/>
    </row>
    <row r="18" spans="3:11" x14ac:dyDescent="0.25">
      <c r="C18" s="295"/>
      <c r="D18" s="295"/>
      <c r="E18" s="295"/>
      <c r="F18" s="256"/>
      <c r="G18" s="258"/>
      <c r="H18" s="295"/>
    </row>
    <row r="19" spans="3:11" x14ac:dyDescent="0.25">
      <c r="C19" s="295"/>
      <c r="D19" s="295"/>
      <c r="E19" s="295"/>
      <c r="F19" s="256"/>
      <c r="G19" s="258"/>
      <c r="H19" s="295"/>
    </row>
    <row r="20" spans="3:11" x14ac:dyDescent="0.25">
      <c r="C20" s="295"/>
      <c r="D20" s="295"/>
      <c r="E20" s="295"/>
      <c r="F20" s="256"/>
      <c r="G20" s="258"/>
      <c r="H20" s="295"/>
    </row>
    <row r="21" spans="3:11" x14ac:dyDescent="0.25">
      <c r="C21" s="295"/>
      <c r="D21" s="295"/>
      <c r="E21" s="295"/>
      <c r="F21" s="256"/>
      <c r="G21" s="258"/>
      <c r="H21" s="295"/>
    </row>
    <row r="22" spans="3:11" x14ac:dyDescent="0.25">
      <c r="C22" s="295"/>
      <c r="D22" s="295"/>
      <c r="E22" s="295"/>
      <c r="F22" s="256"/>
      <c r="G22" s="258"/>
      <c r="H22" s="295"/>
    </row>
    <row r="23" spans="3:11" x14ac:dyDescent="0.25">
      <c r="C23" s="295"/>
      <c r="D23" s="295"/>
      <c r="E23" s="295"/>
      <c r="F23" s="256"/>
      <c r="G23" s="258"/>
      <c r="H23" s="295"/>
    </row>
    <row r="24" spans="3:11" x14ac:dyDescent="0.25">
      <c r="C24" s="295"/>
      <c r="D24" s="295"/>
      <c r="E24" s="295"/>
      <c r="F24" s="256"/>
      <c r="G24" s="258"/>
      <c r="H24" s="295"/>
    </row>
    <row r="25" spans="3:11" x14ac:dyDescent="0.25">
      <c r="C25" s="295"/>
      <c r="D25" s="295"/>
      <c r="E25" s="295"/>
      <c r="F25" s="256"/>
      <c r="G25" s="258"/>
      <c r="H25" s="295"/>
    </row>
    <row r="26" spans="3:11" x14ac:dyDescent="0.25">
      <c r="C26" s="295"/>
      <c r="D26" s="295"/>
      <c r="E26" s="295"/>
      <c r="F26" s="256"/>
      <c r="G26" s="258"/>
      <c r="H26" s="295"/>
    </row>
    <row r="27" spans="3:11" x14ac:dyDescent="0.25">
      <c r="C27" s="295"/>
      <c r="D27" s="295"/>
      <c r="E27" s="295"/>
      <c r="F27" s="256"/>
      <c r="G27" s="258"/>
      <c r="H27" s="295"/>
    </row>
    <row r="28" spans="3:11" x14ac:dyDescent="0.25">
      <c r="C28" s="295"/>
      <c r="D28" s="295"/>
      <c r="E28" s="295"/>
      <c r="F28" s="259"/>
      <c r="G28" s="260"/>
      <c r="H28" s="295"/>
    </row>
    <row r="29" spans="3:11" x14ac:dyDescent="0.25">
      <c r="C29" s="295"/>
      <c r="D29" s="295"/>
      <c r="E29" s="295"/>
      <c r="F29" s="295"/>
      <c r="G29" s="295"/>
      <c r="H29" s="295"/>
    </row>
    <row r="30" spans="3:11" x14ac:dyDescent="0.25">
      <c r="C30" s="295"/>
      <c r="D30" s="295"/>
      <c r="E30" s="295"/>
      <c r="F30" s="259"/>
      <c r="G30" s="260"/>
      <c r="H30" s="295"/>
    </row>
    <row r="31" spans="3:11" ht="13" thickBot="1" x14ac:dyDescent="0.3">
      <c r="C31" s="295"/>
      <c r="D31" s="295"/>
      <c r="E31" s="295"/>
      <c r="F31" s="295"/>
      <c r="G31" s="295"/>
      <c r="H31" s="295"/>
    </row>
    <row r="32" spans="3:11" x14ac:dyDescent="0.25">
      <c r="C32" s="295"/>
      <c r="D32" s="295"/>
      <c r="E32" s="295"/>
      <c r="F32" s="256"/>
      <c r="G32" s="342"/>
      <c r="H32" s="343"/>
      <c r="I32" s="344"/>
      <c r="J32" s="344"/>
      <c r="K32" s="345"/>
    </row>
    <row r="33" spans="3:12" x14ac:dyDescent="0.25">
      <c r="C33" s="295"/>
      <c r="D33" s="295"/>
      <c r="E33" s="295"/>
      <c r="F33" s="295"/>
      <c r="G33" s="346"/>
      <c r="H33" s="299" t="s">
        <v>454</v>
      </c>
      <c r="I33" s="101"/>
      <c r="J33" s="101">
        <v>1800</v>
      </c>
      <c r="K33" s="347" t="s">
        <v>455</v>
      </c>
    </row>
    <row r="34" spans="3:12" x14ac:dyDescent="0.25">
      <c r="C34" s="295"/>
      <c r="D34" s="295"/>
      <c r="E34" s="295"/>
      <c r="F34" s="298"/>
      <c r="G34" s="348"/>
      <c r="H34" s="299"/>
      <c r="I34" s="101"/>
      <c r="J34" s="101"/>
      <c r="K34" s="347"/>
    </row>
    <row r="35" spans="3:12" x14ac:dyDescent="0.25">
      <c r="C35" s="295"/>
      <c r="D35" s="295"/>
      <c r="E35" s="295"/>
      <c r="F35" s="295"/>
      <c r="G35" s="346"/>
      <c r="H35" s="299"/>
      <c r="I35" s="101"/>
      <c r="J35" s="101"/>
      <c r="K35" s="347"/>
    </row>
    <row r="36" spans="3:12" x14ac:dyDescent="0.25">
      <c r="C36" s="295"/>
      <c r="D36" s="295"/>
      <c r="E36" s="295"/>
      <c r="F36" s="259"/>
      <c r="G36" s="348"/>
      <c r="H36" s="299"/>
      <c r="I36" s="101"/>
      <c r="J36" s="101"/>
      <c r="K36" s="347"/>
    </row>
    <row r="37" spans="3:12" x14ac:dyDescent="0.25">
      <c r="C37" s="295"/>
      <c r="D37" s="295"/>
      <c r="E37" s="295"/>
      <c r="F37" s="262"/>
      <c r="G37" s="346"/>
      <c r="H37" s="299"/>
      <c r="I37" s="101" t="s">
        <v>456</v>
      </c>
      <c r="J37" s="101">
        <v>39.799999999999997</v>
      </c>
      <c r="K37" s="347"/>
      <c r="L37" t="s">
        <v>620</v>
      </c>
    </row>
    <row r="38" spans="3:12" x14ac:dyDescent="0.25">
      <c r="C38" s="295"/>
      <c r="D38" s="295"/>
      <c r="E38" s="295"/>
      <c r="F38" s="256"/>
      <c r="G38" s="348"/>
      <c r="H38" s="299"/>
      <c r="I38" s="101"/>
      <c r="J38" s="101"/>
      <c r="K38" s="347"/>
    </row>
    <row r="39" spans="3:12" x14ac:dyDescent="0.25">
      <c r="C39" s="295"/>
      <c r="D39" s="295"/>
      <c r="E39" s="295"/>
      <c r="F39" s="295"/>
      <c r="G39" s="346"/>
      <c r="H39" s="299"/>
      <c r="I39" s="101"/>
      <c r="J39" s="101"/>
      <c r="K39" s="347" t="s">
        <v>457</v>
      </c>
    </row>
    <row r="40" spans="3:12" x14ac:dyDescent="0.25">
      <c r="C40" s="295"/>
      <c r="D40" s="295"/>
      <c r="E40" s="295"/>
      <c r="F40" s="295"/>
      <c r="G40" s="346"/>
      <c r="H40" s="299" t="s">
        <v>458</v>
      </c>
      <c r="I40" s="101"/>
      <c r="J40" s="349">
        <v>2500000</v>
      </c>
      <c r="K40" s="350">
        <f>+J40/$J$37</f>
        <v>62814.070351758797</v>
      </c>
    </row>
    <row r="41" spans="3:12" x14ac:dyDescent="0.25">
      <c r="C41" s="295"/>
      <c r="D41" s="295"/>
      <c r="E41" s="295"/>
      <c r="F41" s="295"/>
      <c r="G41" s="346"/>
      <c r="H41" s="299" t="s">
        <v>459</v>
      </c>
      <c r="I41" s="101"/>
      <c r="J41" s="349">
        <v>400000</v>
      </c>
      <c r="K41" s="350">
        <f t="shared" ref="K41:K51" si="0">+J41/$J$37</f>
        <v>10050.251256281408</v>
      </c>
    </row>
    <row r="42" spans="3:12" x14ac:dyDescent="0.25">
      <c r="C42" s="295"/>
      <c r="D42" s="295"/>
      <c r="E42" s="295"/>
      <c r="F42" s="295"/>
      <c r="G42" s="346"/>
      <c r="H42" s="299" t="s">
        <v>460</v>
      </c>
      <c r="I42" s="101"/>
      <c r="J42" s="349">
        <v>550000</v>
      </c>
      <c r="K42" s="350">
        <f t="shared" si="0"/>
        <v>13819.095477386936</v>
      </c>
    </row>
    <row r="43" spans="3:12" x14ac:dyDescent="0.25">
      <c r="C43" s="295"/>
      <c r="D43" s="295"/>
      <c r="E43" s="295"/>
      <c r="F43" s="295"/>
      <c r="G43" s="346"/>
      <c r="H43" s="299" t="s">
        <v>461</v>
      </c>
      <c r="I43" s="101"/>
      <c r="J43" s="349">
        <v>85000</v>
      </c>
      <c r="K43" s="350">
        <f t="shared" si="0"/>
        <v>2135.6783919597992</v>
      </c>
    </row>
    <row r="44" spans="3:12" x14ac:dyDescent="0.25">
      <c r="G44" s="351"/>
      <c r="H44" s="101" t="s">
        <v>462</v>
      </c>
      <c r="I44" s="101"/>
      <c r="J44" s="349">
        <v>90000</v>
      </c>
      <c r="K44" s="350">
        <f t="shared" si="0"/>
        <v>2261.3065326633168</v>
      </c>
    </row>
    <row r="45" spans="3:12" x14ac:dyDescent="0.25">
      <c r="G45" s="351"/>
      <c r="H45" s="101" t="s">
        <v>463</v>
      </c>
      <c r="I45" s="101"/>
      <c r="J45" s="349">
        <v>300000</v>
      </c>
      <c r="K45" s="350">
        <f t="shared" si="0"/>
        <v>7537.6884422110561</v>
      </c>
    </row>
    <row r="46" spans="3:12" x14ac:dyDescent="0.25">
      <c r="G46" s="351"/>
      <c r="H46" s="101" t="s">
        <v>464</v>
      </c>
      <c r="I46" s="101"/>
      <c r="J46" s="349">
        <v>250000</v>
      </c>
      <c r="K46" s="350">
        <f t="shared" si="0"/>
        <v>6281.4070351758801</v>
      </c>
    </row>
    <row r="47" spans="3:12" x14ac:dyDescent="0.25">
      <c r="G47" s="351"/>
      <c r="H47" s="101" t="s">
        <v>465</v>
      </c>
      <c r="I47" s="101"/>
      <c r="J47" s="349">
        <v>55000</v>
      </c>
      <c r="K47" s="350">
        <f t="shared" si="0"/>
        <v>1381.9095477386936</v>
      </c>
    </row>
    <row r="48" spans="3:12" x14ac:dyDescent="0.25">
      <c r="G48" s="351"/>
      <c r="H48" s="101" t="s">
        <v>466</v>
      </c>
      <c r="I48" s="101"/>
      <c r="J48" s="349">
        <v>71600</v>
      </c>
      <c r="K48" s="350">
        <f t="shared" si="0"/>
        <v>1798.994974874372</v>
      </c>
    </row>
    <row r="49" spans="7:13" x14ac:dyDescent="0.25">
      <c r="G49" s="351"/>
      <c r="H49" s="101" t="s">
        <v>467</v>
      </c>
      <c r="I49" s="101"/>
      <c r="J49" s="349">
        <v>90000</v>
      </c>
      <c r="K49" s="350">
        <f t="shared" si="0"/>
        <v>2261.3065326633168</v>
      </c>
    </row>
    <row r="50" spans="7:13" x14ac:dyDescent="0.25">
      <c r="G50" s="351"/>
      <c r="H50" s="101" t="s">
        <v>468</v>
      </c>
      <c r="I50" s="101"/>
      <c r="J50" s="349">
        <v>12000</v>
      </c>
      <c r="K50" s="350">
        <f t="shared" si="0"/>
        <v>301.50753768844226</v>
      </c>
      <c r="M50" s="381"/>
    </row>
    <row r="51" spans="7:13" x14ac:dyDescent="0.25">
      <c r="G51" s="351"/>
      <c r="H51" s="101" t="s">
        <v>469</v>
      </c>
      <c r="I51" s="101"/>
      <c r="J51" s="349">
        <v>318500</v>
      </c>
      <c r="K51" s="350">
        <f t="shared" si="0"/>
        <v>8002.5125628140713</v>
      </c>
    </row>
    <row r="52" spans="7:13" x14ac:dyDescent="0.25">
      <c r="G52" s="351"/>
      <c r="H52" s="101" t="s">
        <v>470</v>
      </c>
      <c r="I52" s="101"/>
      <c r="J52" s="101"/>
      <c r="K52" s="347"/>
    </row>
    <row r="53" spans="7:13" x14ac:dyDescent="0.25">
      <c r="G53" s="351"/>
      <c r="H53" s="101" t="s">
        <v>471</v>
      </c>
      <c r="I53" s="101"/>
      <c r="J53" s="352">
        <v>0.12</v>
      </c>
      <c r="K53" s="347"/>
    </row>
    <row r="54" spans="7:13" x14ac:dyDescent="0.25">
      <c r="G54" s="351"/>
      <c r="H54" s="101"/>
      <c r="I54" s="101"/>
      <c r="J54" s="352"/>
      <c r="K54" s="347"/>
    </row>
    <row r="55" spans="7:13" x14ac:dyDescent="0.25">
      <c r="G55" s="351"/>
      <c r="H55" s="101" t="s">
        <v>472</v>
      </c>
      <c r="I55" s="101"/>
      <c r="J55" s="352">
        <v>0.15</v>
      </c>
      <c r="K55" s="347"/>
    </row>
    <row r="56" spans="7:13" x14ac:dyDescent="0.25">
      <c r="G56" s="351" t="s">
        <v>477</v>
      </c>
      <c r="H56" s="101"/>
      <c r="I56" s="101"/>
      <c r="J56" s="101"/>
      <c r="K56" s="347"/>
    </row>
    <row r="57" spans="7:13" x14ac:dyDescent="0.25">
      <c r="G57" s="351"/>
      <c r="H57" s="101" t="s">
        <v>473</v>
      </c>
      <c r="I57" s="101"/>
      <c r="J57" s="353">
        <v>12000</v>
      </c>
      <c r="K57" s="347"/>
    </row>
    <row r="58" spans="7:13" x14ac:dyDescent="0.25">
      <c r="G58" s="351"/>
      <c r="H58" s="101"/>
      <c r="I58" s="101"/>
      <c r="J58" s="101"/>
      <c r="K58" s="347"/>
    </row>
    <row r="59" spans="7:13" x14ac:dyDescent="0.25">
      <c r="G59" s="351"/>
      <c r="H59" s="101" t="s">
        <v>474</v>
      </c>
      <c r="I59" s="101"/>
      <c r="J59" s="352">
        <v>0.05</v>
      </c>
      <c r="K59" s="347"/>
    </row>
    <row r="60" spans="7:13" x14ac:dyDescent="0.25">
      <c r="G60" s="351"/>
      <c r="H60" s="101"/>
      <c r="I60" s="101"/>
      <c r="J60" s="352"/>
      <c r="K60" s="347"/>
    </row>
    <row r="61" spans="7:13" x14ac:dyDescent="0.25">
      <c r="G61" s="351"/>
      <c r="H61" s="101" t="s">
        <v>21</v>
      </c>
      <c r="I61" s="101"/>
      <c r="J61" s="352">
        <v>0.04</v>
      </c>
      <c r="K61" s="347"/>
    </row>
    <row r="62" spans="7:13" x14ac:dyDescent="0.25">
      <c r="G62" s="351"/>
      <c r="H62" s="101"/>
      <c r="I62" s="101"/>
      <c r="J62" s="101"/>
      <c r="K62" s="347"/>
    </row>
    <row r="63" spans="7:13" x14ac:dyDescent="0.25">
      <c r="G63" s="351"/>
      <c r="H63" s="101" t="s">
        <v>475</v>
      </c>
      <c r="I63" s="101"/>
      <c r="J63" s="354">
        <v>150000</v>
      </c>
      <c r="K63" s="347"/>
    </row>
    <row r="64" spans="7:13" x14ac:dyDescent="0.25">
      <c r="G64" s="351"/>
      <c r="H64" s="101"/>
      <c r="I64" s="101"/>
      <c r="J64" s="101"/>
      <c r="K64" s="347"/>
    </row>
    <row r="65" spans="7:11" ht="13" thickBot="1" x14ac:dyDescent="0.3">
      <c r="G65" s="355"/>
      <c r="H65" s="356" t="s">
        <v>476</v>
      </c>
      <c r="I65" s="356"/>
      <c r="J65" s="356"/>
      <c r="K65" s="35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opLeftCell="A82" zoomScale="70" zoomScaleNormal="70" workbookViewId="0">
      <selection activeCell="E141" sqref="E141"/>
    </sheetView>
  </sheetViews>
  <sheetFormatPr baseColWidth="10" defaultRowHeight="12.5" x14ac:dyDescent="0.25"/>
  <cols>
    <col min="1" max="1" width="34.81640625" customWidth="1"/>
    <col min="2" max="2" width="20.54296875" customWidth="1"/>
    <col min="3" max="6" width="21.1796875" bestFit="1" customWidth="1"/>
    <col min="7" max="7" width="17.54296875" bestFit="1" customWidth="1"/>
    <col min="9" max="9" width="17" bestFit="1" customWidth="1"/>
    <col min="10" max="10" width="15.453125" bestFit="1" customWidth="1"/>
    <col min="11" max="11" width="15.1796875" bestFit="1" customWidth="1"/>
    <col min="12" max="12" width="15.7265625" bestFit="1" customWidth="1"/>
    <col min="13" max="13" width="13.1796875" bestFit="1" customWidth="1"/>
  </cols>
  <sheetData>
    <row r="1" spans="1:8" s="294" customFormat="1" x14ac:dyDescent="0.25"/>
    <row r="2" spans="1:8" s="294" customFormat="1" x14ac:dyDescent="0.25"/>
    <row r="3" spans="1:8" ht="13.5" thickBot="1" x14ac:dyDescent="0.35">
      <c r="A3" s="1" t="s">
        <v>0</v>
      </c>
      <c r="E3" s="2">
        <f>InfoInicial!E1</f>
        <v>2</v>
      </c>
      <c r="F3" s="15"/>
      <c r="G3" s="15"/>
      <c r="H3" s="15"/>
    </row>
    <row r="4" spans="1:8" ht="16" thickTop="1" x14ac:dyDescent="0.35">
      <c r="A4" s="56" t="s">
        <v>92</v>
      </c>
      <c r="B4" s="57"/>
      <c r="C4" s="57"/>
      <c r="D4" s="57"/>
      <c r="E4" s="57"/>
      <c r="F4" s="58"/>
      <c r="G4" s="15"/>
      <c r="H4" s="15"/>
    </row>
    <row r="5" spans="1:8" ht="13" x14ac:dyDescent="0.3">
      <c r="A5" s="59"/>
      <c r="B5" s="60" t="s">
        <v>93</v>
      </c>
      <c r="C5" s="60"/>
      <c r="D5" s="60"/>
      <c r="E5" s="60"/>
      <c r="F5" s="61"/>
      <c r="G5" s="15"/>
      <c r="H5" s="15"/>
    </row>
    <row r="6" spans="1:8" ht="13.5" thickBot="1" x14ac:dyDescent="0.35">
      <c r="A6" s="59" t="s">
        <v>94</v>
      </c>
      <c r="B6" s="20" t="s">
        <v>54</v>
      </c>
      <c r="C6" s="20" t="s">
        <v>95</v>
      </c>
      <c r="D6" s="20" t="s">
        <v>96</v>
      </c>
      <c r="E6" s="20" t="s">
        <v>97</v>
      </c>
      <c r="F6" s="21" t="s">
        <v>98</v>
      </c>
      <c r="G6" s="15"/>
      <c r="H6" s="15"/>
    </row>
    <row r="7" spans="1:8" ht="13" thickTop="1" x14ac:dyDescent="0.25">
      <c r="A7" s="22" t="s">
        <v>99</v>
      </c>
      <c r="B7" s="62">
        <f>'Aux E-Costos'!K4*'Aux E-Costos'!K6</f>
        <v>13220149.953659998</v>
      </c>
      <c r="C7" s="62">
        <f>+'Aux E-Costos'!K5*'Aux E-Costos'!K6</f>
        <v>15594022.079999998</v>
      </c>
      <c r="D7" s="62">
        <f>+C7</f>
        <v>15594022.079999998</v>
      </c>
      <c r="E7" s="62">
        <f>+C7</f>
        <v>15594022.079999998</v>
      </c>
      <c r="F7" s="84">
        <f>+C7</f>
        <v>15594022.079999998</v>
      </c>
      <c r="G7" s="15"/>
      <c r="H7" s="15"/>
    </row>
    <row r="8" spans="1:8" x14ac:dyDescent="0.25">
      <c r="A8" s="26" t="s">
        <v>100</v>
      </c>
      <c r="B8" s="230">
        <f>+'Aux E-Costos'!N28</f>
        <v>5400000</v>
      </c>
      <c r="C8" s="230">
        <f>B8</f>
        <v>5400000</v>
      </c>
      <c r="D8" s="230">
        <f>C8</f>
        <v>5400000</v>
      </c>
      <c r="E8" s="230">
        <f>D8</f>
        <v>5400000</v>
      </c>
      <c r="F8" s="265">
        <f>E8</f>
        <v>5400000</v>
      </c>
      <c r="G8" s="15"/>
      <c r="H8" s="15"/>
    </row>
    <row r="9" spans="1:8" x14ac:dyDescent="0.25">
      <c r="A9" s="26" t="s">
        <v>101</v>
      </c>
      <c r="B9" s="230"/>
      <c r="C9" s="230"/>
      <c r="D9" s="230"/>
      <c r="E9" s="230"/>
      <c r="F9" s="266"/>
      <c r="G9" s="15"/>
      <c r="H9" s="15"/>
    </row>
    <row r="10" spans="1:8" x14ac:dyDescent="0.25">
      <c r="A10" s="368" t="s">
        <v>622</v>
      </c>
      <c r="B10" s="369">
        <f>'Aux E-Costos'!$O$28</f>
        <v>2700000</v>
      </c>
      <c r="C10" s="369">
        <f>'Aux E-Costos'!$O$28</f>
        <v>2700000</v>
      </c>
      <c r="D10" s="369">
        <f>'Aux E-Costos'!$O$28</f>
        <v>2700000</v>
      </c>
      <c r="E10" s="369">
        <f>'Aux E-Costos'!$O$28</f>
        <v>2700000</v>
      </c>
      <c r="F10" s="369">
        <f>'Aux E-Costos'!$O$28</f>
        <v>2700000</v>
      </c>
      <c r="G10" s="295"/>
      <c r="H10" s="295"/>
    </row>
    <row r="11" spans="1:8" x14ac:dyDescent="0.25">
      <c r="A11" s="26" t="s">
        <v>102</v>
      </c>
      <c r="B11" s="230">
        <f>'E-Inv AF y Am'!$D$56*0.9</f>
        <v>1784165.76</v>
      </c>
      <c r="C11" s="230">
        <f>'E-Inv AF y Am'!$D$56*0.9</f>
        <v>1784165.76</v>
      </c>
      <c r="D11" s="230">
        <f>'E-Inv AF y Am'!$D$56*0.9</f>
        <v>1784165.76</v>
      </c>
      <c r="E11" s="230">
        <f>'E-Inv AF y Am'!$E$56*0.9</f>
        <v>1739165.76</v>
      </c>
      <c r="F11" s="230">
        <f>'E-Inv AF y Am'!$E$56*0.9</f>
        <v>1739165.76</v>
      </c>
      <c r="G11" s="15"/>
      <c r="H11" s="15"/>
    </row>
    <row r="12" spans="1:8" x14ac:dyDescent="0.25">
      <c r="A12" s="26" t="s">
        <v>103</v>
      </c>
      <c r="B12" s="230">
        <f>SUMIF('Aux E-Costos'!$K$114:$K$168,"Producción",'Aux E-Costos'!$J$114:$J$168)</f>
        <v>528700</v>
      </c>
      <c r="C12" s="230">
        <f>SUMIF('Aux E-Costos'!$K$114:$K$168,"Producción",'Aux E-Costos'!$J$114:$J$168)</f>
        <v>528700</v>
      </c>
      <c r="D12" s="230">
        <f>SUMIF('Aux E-Costos'!$K$114:$K$168,"Producción",'Aux E-Costos'!$J$114:$J$168)</f>
        <v>528700</v>
      </c>
      <c r="E12" s="230">
        <f>SUMIF('Aux E-Costos'!$K$114:$K$168,"Producción",'Aux E-Costos'!$J$114:$J$168)</f>
        <v>528700</v>
      </c>
      <c r="F12" s="230">
        <f>SUMIF('Aux E-Costos'!$K$114:$K$168,"Producción",'Aux E-Costos'!$J$114:$J$168)</f>
        <v>528700</v>
      </c>
      <c r="G12" s="15"/>
      <c r="H12" s="15"/>
    </row>
    <row r="13" spans="1:8" x14ac:dyDescent="0.25">
      <c r="A13" s="26" t="s">
        <v>104</v>
      </c>
      <c r="B13" s="383">
        <f>+'Aux E-Costos'!$K$37*'Aux E-Costos'!$K$38*95%</f>
        <v>23029.957636499999</v>
      </c>
      <c r="C13" s="267">
        <f>+'Aux E-Costos'!$K$37*'Aux E-Costos'!$K$38</f>
        <v>24242.060669999999</v>
      </c>
      <c r="D13" s="267">
        <f>+'Aux E-Costos'!$K$37*'Aux E-Costos'!$K$38</f>
        <v>24242.060669999999</v>
      </c>
      <c r="E13" s="267">
        <f>+'Aux E-Costos'!$K$37*'Aux E-Costos'!$K$38</f>
        <v>24242.060669999999</v>
      </c>
      <c r="F13" s="267">
        <f>+'Aux E-Costos'!$K$37*'Aux E-Costos'!$K$38</f>
        <v>24242.060669999999</v>
      </c>
      <c r="G13" s="15"/>
      <c r="H13" s="15"/>
    </row>
    <row r="14" spans="1:8" x14ac:dyDescent="0.25">
      <c r="A14" s="26" t="s">
        <v>105</v>
      </c>
      <c r="B14" s="230">
        <v>0</v>
      </c>
      <c r="C14" s="230">
        <v>0</v>
      </c>
      <c r="D14" s="230">
        <v>0</v>
      </c>
      <c r="E14" s="230">
        <v>0</v>
      </c>
      <c r="F14" s="265">
        <v>0</v>
      </c>
      <c r="G14" s="15"/>
      <c r="H14" s="15"/>
    </row>
    <row r="15" spans="1:8" x14ac:dyDescent="0.25">
      <c r="A15" s="26" t="s">
        <v>106</v>
      </c>
      <c r="B15" s="230">
        <f>('E-Inv AF y Am'!$B$7+'E-Inv AF y Am'!$B$8)*0.8%*90%</f>
        <v>293443.20000000001</v>
      </c>
      <c r="C15" s="230">
        <f>('E-Inv AF y Am'!$B$7+'E-Inv AF y Am'!$B$8)*0.8%*90%</f>
        <v>293443.20000000001</v>
      </c>
      <c r="D15" s="230">
        <f>('E-Inv AF y Am'!$B$7+'E-Inv AF y Am'!$B$8)*0.8%*90%</f>
        <v>293443.20000000001</v>
      </c>
      <c r="E15" s="230">
        <f>('E-Inv AF y Am'!$B$7+'E-Inv AF y Am'!$B$8)*0.8%*90%</f>
        <v>293443.20000000001</v>
      </c>
      <c r="F15" s="230">
        <f>('E-Inv AF y Am'!$B$7+'E-Inv AF y Am'!$B$8)*0.8%*90%</f>
        <v>293443.20000000001</v>
      </c>
      <c r="G15" s="15"/>
      <c r="H15" s="15"/>
    </row>
    <row r="16" spans="1:8" x14ac:dyDescent="0.25">
      <c r="A16" s="26" t="s">
        <v>21</v>
      </c>
      <c r="B16" s="230">
        <f>InfoInicial!$B$15*SUM(B7:B15)</f>
        <v>957979.55485185992</v>
      </c>
      <c r="C16" s="230">
        <f>InfoInicial!$B$15*SUM(C7:C15)</f>
        <v>1052982.9240267999</v>
      </c>
      <c r="D16" s="230">
        <f>InfoInicial!$B$15*SUM(D7:D15)</f>
        <v>1052982.9240267999</v>
      </c>
      <c r="E16" s="230">
        <f>InfoInicial!$B$15*SUM(E7:E15)</f>
        <v>1051182.9240267999</v>
      </c>
      <c r="F16" s="230">
        <f>InfoInicial!$B$15*SUM(F7:F15)</f>
        <v>1051182.9240267999</v>
      </c>
      <c r="G16" s="15"/>
      <c r="H16" s="15"/>
    </row>
    <row r="17" spans="1:8" ht="13" x14ac:dyDescent="0.3">
      <c r="A17" s="24" t="s">
        <v>107</v>
      </c>
      <c r="B17" s="230">
        <f>SUM(B7:B16)</f>
        <v>24907468.426148359</v>
      </c>
      <c r="C17" s="230">
        <f>SUM(C7:C16)</f>
        <v>27377556.024696797</v>
      </c>
      <c r="D17" s="230">
        <f>SUM(D7:D16)</f>
        <v>27377556.024696797</v>
      </c>
      <c r="E17" s="230">
        <f>SUM(E7:E16)</f>
        <v>27330756.024696797</v>
      </c>
      <c r="F17" s="230">
        <f>SUM(F7:F16)</f>
        <v>27330756.024696797</v>
      </c>
      <c r="G17" s="15"/>
      <c r="H17" s="15"/>
    </row>
    <row r="18" spans="1:8" x14ac:dyDescent="0.25">
      <c r="A18" s="66"/>
      <c r="B18" s="67"/>
      <c r="C18" s="67"/>
      <c r="D18" s="67"/>
      <c r="E18" s="67"/>
      <c r="F18" s="68"/>
      <c r="G18" s="15"/>
      <c r="H18" s="15"/>
    </row>
    <row r="19" spans="1:8" ht="13" x14ac:dyDescent="0.3">
      <c r="A19" s="69" t="s">
        <v>108</v>
      </c>
      <c r="B19" s="304">
        <f>(B11+B15+(0.8*B13)+(0.5*B16))/B17</f>
        <v>0.10338355787422455</v>
      </c>
      <c r="C19" s="304">
        <f>(C11+C15+(0.8*C13)+(0.5*C16))/C17</f>
        <v>9.5826452448231431E-2</v>
      </c>
      <c r="D19" s="304">
        <f>(D11+D15+(0.8*D13)+(0.5*D16))/D17</f>
        <v>9.5826452448231431E-2</v>
      </c>
      <c r="E19" s="304">
        <f>(E11+E15+(0.8*E13)+(0.5*E16))/E17</f>
        <v>9.4311114856106326E-2</v>
      </c>
      <c r="F19" s="304">
        <f>(F11+F15+(0.8*F13)+(0.5*F16))/F17</f>
        <v>9.4311114856106326E-2</v>
      </c>
      <c r="G19" s="15"/>
      <c r="H19" s="15"/>
    </row>
    <row r="20" spans="1:8" ht="13.5" thickBot="1" x14ac:dyDescent="0.35">
      <c r="A20" s="370" t="s">
        <v>109</v>
      </c>
      <c r="B20" s="371">
        <f>(B7+B8+B12+(0.2*B13)+(0.5*B16)+B10)/B17</f>
        <v>0.89661644212577529</v>
      </c>
      <c r="C20" s="371">
        <f>(C7+C8+C12+(0.2*C13)+(0.5*C16)+C10)/C17</f>
        <v>0.9041735475517686</v>
      </c>
      <c r="D20" s="371">
        <f>(D7+D8+D12+(0.2*D13)+(0.5*D16)+D10)/D17</f>
        <v>0.9041735475517686</v>
      </c>
      <c r="E20" s="371">
        <f>(E7+E8+E12+(0.2*E13)+(0.5*E16)+E10)/E17</f>
        <v>0.90568888514389367</v>
      </c>
      <c r="F20" s="371">
        <f>(F7+F8+F12+(0.2*F13)+(0.5*F16)+F10)/F17</f>
        <v>0.90568888514389367</v>
      </c>
      <c r="G20" s="15"/>
      <c r="H20" s="15"/>
    </row>
    <row r="21" spans="1:8" ht="13.5" thickTop="1" thickBot="1" x14ac:dyDescent="0.3">
      <c r="A21" s="15"/>
      <c r="B21" s="15"/>
      <c r="C21" s="15"/>
      <c r="D21" s="15"/>
      <c r="E21" s="15"/>
      <c r="F21" s="15"/>
      <c r="G21" s="15"/>
      <c r="H21" s="15"/>
    </row>
    <row r="22" spans="1:8" ht="13.5" thickTop="1" x14ac:dyDescent="0.3">
      <c r="A22" s="72"/>
      <c r="B22" s="17" t="s">
        <v>110</v>
      </c>
      <c r="C22" s="17"/>
      <c r="D22" s="17"/>
      <c r="E22" s="17"/>
      <c r="F22" s="17"/>
      <c r="G22" s="18"/>
      <c r="H22" s="15"/>
    </row>
    <row r="23" spans="1:8" ht="13" x14ac:dyDescent="0.3">
      <c r="A23" s="59"/>
      <c r="B23" s="60" t="s">
        <v>111</v>
      </c>
      <c r="C23" s="60"/>
      <c r="D23" s="60"/>
      <c r="E23" s="60"/>
      <c r="F23" s="60"/>
      <c r="G23" s="61" t="s">
        <v>112</v>
      </c>
      <c r="H23" s="15"/>
    </row>
    <row r="24" spans="1:8" ht="13.5" thickBot="1" x14ac:dyDescent="0.35">
      <c r="A24" s="59" t="s">
        <v>94</v>
      </c>
      <c r="B24" s="73" t="s">
        <v>54</v>
      </c>
      <c r="C24" s="73" t="s">
        <v>95</v>
      </c>
      <c r="D24" s="73" t="s">
        <v>96</v>
      </c>
      <c r="E24" s="73" t="s">
        <v>97</v>
      </c>
      <c r="F24" s="73" t="s">
        <v>98</v>
      </c>
      <c r="G24" s="74" t="s">
        <v>54</v>
      </c>
      <c r="H24" s="15"/>
    </row>
    <row r="25" spans="1:8" ht="13" thickTop="1" x14ac:dyDescent="0.25">
      <c r="A25" s="22" t="s">
        <v>99</v>
      </c>
      <c r="B25" s="62">
        <f>'Aux E-Costos'!$J$55</f>
        <v>225999.07823999997</v>
      </c>
      <c r="C25" s="62">
        <f>'Aux E-Costos'!$J$55</f>
        <v>225999.07823999997</v>
      </c>
      <c r="D25" s="62">
        <f>'Aux E-Costos'!$J$55</f>
        <v>225999.07823999997</v>
      </c>
      <c r="E25" s="62">
        <f>'Aux E-Costos'!$J$55</f>
        <v>225999.07823999997</v>
      </c>
      <c r="F25" s="62">
        <f>'Aux E-Costos'!$J$55</f>
        <v>225999.07823999997</v>
      </c>
      <c r="G25" s="63">
        <f>'Aux E-Costos'!J56</f>
        <v>346824.18887999997</v>
      </c>
      <c r="H25" s="295" t="s">
        <v>563</v>
      </c>
    </row>
    <row r="26" spans="1:8" x14ac:dyDescent="0.25">
      <c r="A26" s="26" t="s">
        <v>100</v>
      </c>
      <c r="B26" s="268">
        <f>'Aux E-Costos'!$J$88</f>
        <v>92313.251118466593</v>
      </c>
      <c r="C26" s="268">
        <f>'Aux E-Costos'!$J$88</f>
        <v>92313.251118466593</v>
      </c>
      <c r="D26" s="268">
        <f>'Aux E-Costos'!$J$88</f>
        <v>92313.251118466593</v>
      </c>
      <c r="E26" s="268">
        <f>'Aux E-Costos'!$J$88</f>
        <v>92313.251118466593</v>
      </c>
      <c r="F26" s="268">
        <f>'Aux E-Costos'!$J$88</f>
        <v>92313.251118466593</v>
      </c>
      <c r="G26" s="269">
        <f>'Aux E-Costos'!J89</f>
        <v>141666.36736472879</v>
      </c>
      <c r="H26" s="294"/>
    </row>
    <row r="27" spans="1:8" x14ac:dyDescent="0.25">
      <c r="A27" s="26" t="s">
        <v>101</v>
      </c>
      <c r="B27" s="264"/>
      <c r="C27" s="264"/>
      <c r="D27" s="264"/>
      <c r="E27" s="264"/>
      <c r="F27" s="264"/>
      <c r="G27" s="270"/>
      <c r="H27" s="294"/>
    </row>
    <row r="28" spans="1:8" x14ac:dyDescent="0.25">
      <c r="A28" s="26" t="s">
        <v>102</v>
      </c>
      <c r="B28" s="268">
        <f>'Aux E-Costos'!N92</f>
        <v>16449.667142392333</v>
      </c>
      <c r="C28" s="268">
        <f>'Aux E-Costos'!N93</f>
        <v>13445.813008457142</v>
      </c>
      <c r="D28" s="268">
        <f>'Aux E-Costos'!N93</f>
        <v>13445.813008457142</v>
      </c>
      <c r="E28" s="268">
        <f>'Aux E-Costos'!N94</f>
        <v>13106.684437028571</v>
      </c>
      <c r="F28" s="268">
        <f>'Aux E-Costos'!N94</f>
        <v>13106.684437028571</v>
      </c>
      <c r="G28" s="269"/>
      <c r="H28" s="295" t="s">
        <v>564</v>
      </c>
    </row>
    <row r="29" spans="1:8" x14ac:dyDescent="0.25">
      <c r="A29" s="26" t="s">
        <v>113</v>
      </c>
      <c r="B29" s="268">
        <f>'Aux E-Costos'!$N$97</f>
        <v>24893.483711098288</v>
      </c>
      <c r="C29" s="268">
        <f>'Aux E-Costos'!$N$97</f>
        <v>24893.483711098288</v>
      </c>
      <c r="D29" s="268">
        <f>'Aux E-Costos'!$N$97</f>
        <v>24893.483711098288</v>
      </c>
      <c r="E29" s="268">
        <f>'Aux E-Costos'!$N$97</f>
        <v>24893.483711098288</v>
      </c>
      <c r="F29" s="268">
        <f>'Aux E-Costos'!$N$97</f>
        <v>24893.483711098288</v>
      </c>
      <c r="G29" s="269"/>
      <c r="H29" s="295" t="s">
        <v>564</v>
      </c>
    </row>
    <row r="30" spans="1:8" x14ac:dyDescent="0.25">
      <c r="A30" s="26" t="s">
        <v>103</v>
      </c>
      <c r="B30" s="268">
        <f>'Aux E-Costos'!$K$51</f>
        <v>9038.1510863580152</v>
      </c>
      <c r="C30" s="268">
        <f>'Aux E-Costos'!$K$51</f>
        <v>9038.1510863580152</v>
      </c>
      <c r="D30" s="268">
        <f>'Aux E-Costos'!$K$51</f>
        <v>9038.1510863580152</v>
      </c>
      <c r="E30" s="268">
        <f>'Aux E-Costos'!$K$51</f>
        <v>9038.1510863580152</v>
      </c>
      <c r="F30" s="268">
        <f>'Aux E-Costos'!$K$51</f>
        <v>9038.1510863580152</v>
      </c>
      <c r="G30" s="269">
        <f>'Aux E-Costos'!K52</f>
        <v>13870.186745505947</v>
      </c>
      <c r="H30" s="295" t="s">
        <v>563</v>
      </c>
    </row>
    <row r="31" spans="1:8" x14ac:dyDescent="0.25">
      <c r="A31" s="26" t="s">
        <v>114</v>
      </c>
      <c r="B31" s="384">
        <f>'Aux E-Costos'!K39</f>
        <v>393.69819676775398</v>
      </c>
      <c r="C31" s="384">
        <f>'Aux E-Costos'!L39</f>
        <v>351.33228220093406</v>
      </c>
      <c r="D31" s="384">
        <f>'Aux E-Costos'!M39</f>
        <v>351.33228220093406</v>
      </c>
      <c r="E31" s="384">
        <f>'Aux E-Costos'!N39</f>
        <v>351.33228220093406</v>
      </c>
      <c r="F31" s="384">
        <f>'Aux E-Costos'!O39</f>
        <v>351.33228220093406</v>
      </c>
      <c r="G31" s="376">
        <f>'Aux E-Costos'!K40</f>
        <v>604.17971091232414</v>
      </c>
      <c r="H31" s="294"/>
    </row>
    <row r="32" spans="1:8" x14ac:dyDescent="0.25">
      <c r="A32" s="26" t="s">
        <v>115</v>
      </c>
      <c r="B32" s="302">
        <v>0</v>
      </c>
      <c r="C32" s="268">
        <v>0</v>
      </c>
      <c r="D32" s="268">
        <v>0</v>
      </c>
      <c r="E32" s="268">
        <v>0</v>
      </c>
      <c r="F32" s="268">
        <v>0</v>
      </c>
      <c r="G32" s="382">
        <v>0</v>
      </c>
      <c r="H32" s="295" t="s">
        <v>563</v>
      </c>
    </row>
    <row r="33" spans="1:8" x14ac:dyDescent="0.25">
      <c r="A33" s="26" t="s">
        <v>116</v>
      </c>
      <c r="B33" s="268">
        <f>'Aux E-Costos'!N100</f>
        <v>2705.4901923453917</v>
      </c>
      <c r="C33" s="268">
        <f>'Aux E-Costos'!$N$101</f>
        <v>2211.4438491428573</v>
      </c>
      <c r="D33" s="268">
        <f>'Aux E-Costos'!$N$101</f>
        <v>2211.4438491428573</v>
      </c>
      <c r="E33" s="268">
        <f>'Aux E-Costos'!$N$101</f>
        <v>2211.4438491428573</v>
      </c>
      <c r="F33" s="268">
        <f>'Aux E-Costos'!$N$101</f>
        <v>2211.4438491428573</v>
      </c>
      <c r="G33" s="269"/>
      <c r="H33" s="295" t="s">
        <v>564</v>
      </c>
    </row>
    <row r="34" spans="1:8" x14ac:dyDescent="0.25">
      <c r="A34" s="26" t="s">
        <v>117</v>
      </c>
      <c r="B34" s="64">
        <f>InfoInicial!$B$15*SUM(B25:B33)</f>
        <v>14871.712787497132</v>
      </c>
      <c r="C34" s="64">
        <f>InfoInicial!$B$15*SUM(C25:C33)</f>
        <v>14730.102131828949</v>
      </c>
      <c r="D34" s="64">
        <f>InfoInicial!$B$15*SUM(D25:D33)</f>
        <v>14730.102131828949</v>
      </c>
      <c r="E34" s="64">
        <f>InfoInicial!$B$15*SUM(E25:E33)</f>
        <v>14716.536988971809</v>
      </c>
      <c r="F34" s="64">
        <f>InfoInicial!$B$15*SUM(F25:F33)</f>
        <v>14716.536988971809</v>
      </c>
      <c r="G34" s="65" t="s">
        <v>401</v>
      </c>
      <c r="H34" s="295" t="s">
        <v>564</v>
      </c>
    </row>
    <row r="35" spans="1:8" ht="13.5" thickBot="1" x14ac:dyDescent="0.35">
      <c r="A35" s="34" t="s">
        <v>118</v>
      </c>
      <c r="B35" s="70">
        <f t="shared" ref="B35:G35" si="0">SUM(B25:B34)</f>
        <v>386664.53247492545</v>
      </c>
      <c r="C35" s="70">
        <f t="shared" si="0"/>
        <v>382982.6554275527</v>
      </c>
      <c r="D35" s="70">
        <f t="shared" si="0"/>
        <v>382982.6554275527</v>
      </c>
      <c r="E35" s="70">
        <f t="shared" si="0"/>
        <v>382629.96171326702</v>
      </c>
      <c r="F35" s="70">
        <f t="shared" si="0"/>
        <v>382629.96171326702</v>
      </c>
      <c r="G35" s="70">
        <f t="shared" si="0"/>
        <v>502964.92270114704</v>
      </c>
      <c r="H35" s="15"/>
    </row>
    <row r="36" spans="1:8" ht="14" thickTop="1" thickBot="1" x14ac:dyDescent="0.35">
      <c r="A36" s="75"/>
      <c r="B36" s="76"/>
      <c r="C36" s="76"/>
      <c r="D36" s="76"/>
      <c r="E36" s="76"/>
      <c r="F36" s="76"/>
      <c r="G36" s="76"/>
      <c r="H36" s="15"/>
    </row>
    <row r="37" spans="1:8" ht="13.5" thickTop="1" x14ac:dyDescent="0.3">
      <c r="A37" s="36"/>
      <c r="B37" s="77" t="s">
        <v>119</v>
      </c>
      <c r="C37" s="77"/>
      <c r="D37" s="77"/>
      <c r="E37" s="77"/>
      <c r="F37" s="78"/>
      <c r="G37" s="15"/>
      <c r="H37" s="15"/>
    </row>
    <row r="38" spans="1:8" ht="13.5" thickBot="1" x14ac:dyDescent="0.35">
      <c r="A38" s="34"/>
      <c r="B38" s="73" t="s">
        <v>54</v>
      </c>
      <c r="C38" s="73" t="s">
        <v>95</v>
      </c>
      <c r="D38" s="73" t="s">
        <v>96</v>
      </c>
      <c r="E38" s="73" t="s">
        <v>97</v>
      </c>
      <c r="F38" s="21" t="s">
        <v>98</v>
      </c>
      <c r="G38" s="76"/>
      <c r="H38" s="15"/>
    </row>
    <row r="39" spans="1:8" ht="13.5" thickTop="1" x14ac:dyDescent="0.3">
      <c r="A39" s="40" t="s">
        <v>107</v>
      </c>
      <c r="B39" s="62">
        <f>B17</f>
        <v>24907468.426148359</v>
      </c>
      <c r="C39" s="62">
        <f>C17</f>
        <v>27377556.024696797</v>
      </c>
      <c r="D39" s="62">
        <f>D17</f>
        <v>27377556.024696797</v>
      </c>
      <c r="E39" s="62">
        <f>E17</f>
        <v>27330756.024696797</v>
      </c>
      <c r="F39" s="62">
        <f>F17</f>
        <v>27330756.024696797</v>
      </c>
      <c r="G39" s="76"/>
      <c r="H39" s="15"/>
    </row>
    <row r="40" spans="1:8" x14ac:dyDescent="0.25">
      <c r="A40" s="26" t="s">
        <v>120</v>
      </c>
      <c r="B40" s="64"/>
      <c r="C40" s="64"/>
      <c r="D40" s="64"/>
      <c r="E40" s="64"/>
      <c r="F40" s="44"/>
      <c r="G40" s="76"/>
      <c r="H40" s="15"/>
    </row>
    <row r="41" spans="1:8" x14ac:dyDescent="0.25">
      <c r="A41" s="26" t="s">
        <v>121</v>
      </c>
      <c r="B41" s="64">
        <f>G35</f>
        <v>502964.92270114704</v>
      </c>
      <c r="C41" s="64"/>
      <c r="D41" s="64"/>
      <c r="E41" s="64"/>
      <c r="F41" s="44"/>
      <c r="G41" s="76"/>
      <c r="H41" s="15"/>
    </row>
    <row r="42" spans="1:8" x14ac:dyDescent="0.25">
      <c r="A42" s="26" t="s">
        <v>122</v>
      </c>
      <c r="B42" s="64">
        <f>B35</f>
        <v>386664.53247492545</v>
      </c>
      <c r="C42" s="296">
        <f>C35</f>
        <v>382982.6554275527</v>
      </c>
      <c r="D42" s="296">
        <f>D35</f>
        <v>382982.6554275527</v>
      </c>
      <c r="E42" s="296">
        <f>E35</f>
        <v>382629.96171326702</v>
      </c>
      <c r="F42" s="296">
        <f>F35</f>
        <v>382629.96171326702</v>
      </c>
      <c r="G42" s="76"/>
      <c r="H42" s="15"/>
    </row>
    <row r="43" spans="1:8" ht="13" x14ac:dyDescent="0.3">
      <c r="A43" s="24" t="s">
        <v>123</v>
      </c>
      <c r="B43" s="64">
        <f>B39-B41-B42</f>
        <v>24017838.970972288</v>
      </c>
      <c r="C43" s="64">
        <f>C39-C41-C42</f>
        <v>26994573.369269244</v>
      </c>
      <c r="D43" s="64">
        <f>D39-D41-D42</f>
        <v>26994573.369269244</v>
      </c>
      <c r="E43" s="64">
        <f>E39-E41-E42</f>
        <v>26948126.062983532</v>
      </c>
      <c r="F43" s="64">
        <f>F39-F41-F42</f>
        <v>26948126.062983532</v>
      </c>
      <c r="G43" s="76"/>
      <c r="H43" s="15"/>
    </row>
    <row r="44" spans="1:8" ht="13" x14ac:dyDescent="0.3">
      <c r="A44" s="69" t="s">
        <v>124</v>
      </c>
      <c r="B44" s="79">
        <f>B43/34330.43</f>
        <v>699.60786890733061</v>
      </c>
      <c r="C44" s="79">
        <f>C43/42000</f>
        <v>642.72793736355345</v>
      </c>
      <c r="D44" s="79">
        <f>D43/42000</f>
        <v>642.72793736355345</v>
      </c>
      <c r="E44" s="79">
        <f>E43/42000</f>
        <v>641.62204911865547</v>
      </c>
      <c r="F44" s="79">
        <f>F43/42000</f>
        <v>641.62204911865547</v>
      </c>
      <c r="G44" s="76" t="s">
        <v>402</v>
      </c>
      <c r="H44" s="15"/>
    </row>
    <row r="45" spans="1:8" ht="13" x14ac:dyDescent="0.3">
      <c r="A45" s="69"/>
      <c r="B45" s="79"/>
      <c r="C45" s="79"/>
      <c r="D45" s="79"/>
      <c r="E45" s="79"/>
      <c r="F45" s="80"/>
      <c r="G45" s="76"/>
      <c r="H45" s="15"/>
    </row>
    <row r="46" spans="1:8" ht="13" x14ac:dyDescent="0.3">
      <c r="A46" s="69" t="s">
        <v>108</v>
      </c>
      <c r="B46" s="81">
        <f>((B39*B19)-B41-B28-B29-(0.8*B31)-B33-(0.5*B34))/B43</f>
        <v>8.4114908392826149E-2</v>
      </c>
      <c r="C46" s="81">
        <f>((C39*C19)-C41-C28-C29-(0.8*C31)-C33-(0.5*C34))/C43</f>
        <v>9.5400552468843894E-2</v>
      </c>
      <c r="D46" s="81">
        <f>((D39*D19)-D41-D28-D29-(0.8*D31)-D33-(0.5*D34))/D43</f>
        <v>9.5400552468843894E-2</v>
      </c>
      <c r="E46" s="81">
        <f>((E39*E19)-E41-E28-E29-(0.8*E31)-E33-(0.5*E34))/E43</f>
        <v>9.3874546909841997E-2</v>
      </c>
      <c r="F46" s="81">
        <f>((F39*F19)-F41-F28-F29-(0.8*F31)-F33-(0.5*F34))/F43</f>
        <v>9.3874546909841997E-2</v>
      </c>
      <c r="G46" s="76"/>
      <c r="H46" s="15"/>
    </row>
    <row r="47" spans="1:8" ht="13.5" thickBot="1" x14ac:dyDescent="0.35">
      <c r="A47" s="34" t="s">
        <v>109</v>
      </c>
      <c r="B47" s="82">
        <f>((B39*B20)-B25-B26-B30-(0.2*B31)-(0.5*B34))/B43</f>
        <v>0.9158850916071738</v>
      </c>
      <c r="C47" s="82">
        <f>((C39*C20)-C25-C26-C30-(0.2*C31)-(0.5*C34))/C43</f>
        <v>0.90459944753115629</v>
      </c>
      <c r="D47" s="82">
        <f>((D39*D20)-D25-D26-D30-(0.2*D31)-(0.5*D34))/D43</f>
        <v>0.90459944753115629</v>
      </c>
      <c r="E47" s="82">
        <f>((E39*E20)-E25-E26-E30-(0.2*E31)-(0.5*E34))/E43</f>
        <v>0.90612545309015802</v>
      </c>
      <c r="F47" s="82">
        <f>((F39*F20)-F25-F26-F30-(0.2*F31)-(0.5*F34))/F43</f>
        <v>0.90612545309015802</v>
      </c>
      <c r="G47" s="76"/>
      <c r="H47" s="15"/>
    </row>
    <row r="48" spans="1:8" ht="13" thickTop="1" x14ac:dyDescent="0.25">
      <c r="A48" s="15"/>
      <c r="B48" s="15"/>
      <c r="C48" s="15"/>
      <c r="D48" s="15"/>
      <c r="E48" s="15"/>
      <c r="F48" s="15"/>
      <c r="G48" s="15"/>
      <c r="H48" s="15"/>
    </row>
    <row r="49" spans="1:8" ht="13" thickBot="1" x14ac:dyDescent="0.3">
      <c r="A49" s="15"/>
      <c r="B49" s="15"/>
      <c r="C49" s="15"/>
      <c r="D49" s="15"/>
      <c r="E49" s="15"/>
      <c r="F49" s="15"/>
      <c r="G49" s="15"/>
      <c r="H49" s="15"/>
    </row>
    <row r="50" spans="1:8" ht="13.5" thickTop="1" x14ac:dyDescent="0.3">
      <c r="A50" s="32"/>
      <c r="B50" s="17" t="s">
        <v>125</v>
      </c>
      <c r="C50" s="17"/>
      <c r="D50" s="17"/>
      <c r="E50" s="17"/>
      <c r="F50" s="18"/>
      <c r="G50" s="15"/>
      <c r="H50" s="15"/>
    </row>
    <row r="51" spans="1:8" ht="13.5" thickBot="1" x14ac:dyDescent="0.35">
      <c r="A51" s="83" t="s">
        <v>94</v>
      </c>
      <c r="B51" s="20" t="s">
        <v>54</v>
      </c>
      <c r="C51" s="20" t="s">
        <v>95</v>
      </c>
      <c r="D51" s="20" t="s">
        <v>96</v>
      </c>
      <c r="E51" s="20" t="s">
        <v>97</v>
      </c>
      <c r="F51" s="21" t="s">
        <v>98</v>
      </c>
      <c r="G51" s="15"/>
      <c r="H51" s="15"/>
    </row>
    <row r="52" spans="1:8" ht="13" thickTop="1" x14ac:dyDescent="0.25">
      <c r="A52" s="72" t="s">
        <v>126</v>
      </c>
      <c r="B52" s="317">
        <f>'Aux E-Costos'!$N$14+'Aux E-Costos'!$N$17+'Aux E-Costos'!$N$18+'Aux E-Costos'!$N$25</f>
        <v>4140000</v>
      </c>
      <c r="C52" s="317">
        <f>'Aux E-Costos'!$N$14+'Aux E-Costos'!$N$17+'Aux E-Costos'!$N$18+'Aux E-Costos'!$N$25</f>
        <v>4140000</v>
      </c>
      <c r="D52" s="317">
        <f>'Aux E-Costos'!$N$14+'Aux E-Costos'!$N$17+'Aux E-Costos'!$N$18+'Aux E-Costos'!$N$25</f>
        <v>4140000</v>
      </c>
      <c r="E52" s="317">
        <f>'Aux E-Costos'!$N$14+'Aux E-Costos'!$N$17+'Aux E-Costos'!$N$18+'Aux E-Costos'!$N$25</f>
        <v>4140000</v>
      </c>
      <c r="F52" s="317">
        <f>'Aux E-Costos'!$N$14+'Aux E-Costos'!$N$17+'Aux E-Costos'!$N$18+'Aux E-Costos'!$N$25</f>
        <v>4140000</v>
      </c>
      <c r="G52" s="15"/>
      <c r="H52" s="15"/>
    </row>
    <row r="53" spans="1:8" x14ac:dyDescent="0.25">
      <c r="A53" s="26" t="s">
        <v>127</v>
      </c>
      <c r="B53" s="267">
        <f>'E-Inv AF y Am'!$D$56*0.05</f>
        <v>99120.320000000007</v>
      </c>
      <c r="C53" s="267">
        <f>'E-Inv AF y Am'!$D$56*0.05</f>
        <v>99120.320000000007</v>
      </c>
      <c r="D53" s="267">
        <f>'E-Inv AF y Am'!$D$56*0.05</f>
        <v>99120.320000000007</v>
      </c>
      <c r="E53" s="267">
        <f>'E-Inv AF y Am'!$E$56*0.05</f>
        <v>96620.32</v>
      </c>
      <c r="F53" s="267">
        <f>'E-Inv AF y Am'!$E$56*0.05</f>
        <v>96620.32</v>
      </c>
      <c r="G53" s="15"/>
      <c r="H53" s="15"/>
    </row>
    <row r="54" spans="1:8" x14ac:dyDescent="0.25">
      <c r="A54" s="26" t="s">
        <v>103</v>
      </c>
      <c r="B54" s="267">
        <f>C54*90%</f>
        <v>678811.97880000004</v>
      </c>
      <c r="C54" s="267">
        <f>'Aux E-Costos'!$K$69+'Aux E-Costos'!$K$70+3%*$C$52</f>
        <v>754235.53200000001</v>
      </c>
      <c r="D54" s="267">
        <f>'Aux E-Costos'!$K$69+'Aux E-Costos'!$K$70+3%*$C$52</f>
        <v>754235.53200000001</v>
      </c>
      <c r="E54" s="267">
        <f>'Aux E-Costos'!$K$69+'Aux E-Costos'!$K$70+3%*$C$52</f>
        <v>754235.53200000001</v>
      </c>
      <c r="F54" s="267">
        <f>'Aux E-Costos'!$K$69+'Aux E-Costos'!$K$70+3%*$C$52</f>
        <v>754235.53200000001</v>
      </c>
      <c r="G54" s="15"/>
      <c r="H54" s="15"/>
    </row>
    <row r="55" spans="1:8" x14ac:dyDescent="0.25">
      <c r="A55" s="26" t="s">
        <v>128</v>
      </c>
      <c r="B55" s="267">
        <f>C55*95%</f>
        <v>460.59915273000001</v>
      </c>
      <c r="C55" s="267">
        <f>C13*2%</f>
        <v>484.84121340000002</v>
      </c>
      <c r="D55" s="267">
        <f>D13*2%</f>
        <v>484.84121340000002</v>
      </c>
      <c r="E55" s="267">
        <f>E13*2%</f>
        <v>484.84121340000002</v>
      </c>
      <c r="F55" s="267">
        <f>F13*2%</f>
        <v>484.84121340000002</v>
      </c>
      <c r="G55" s="15"/>
      <c r="H55" s="15"/>
    </row>
    <row r="56" spans="1:8" x14ac:dyDescent="0.25">
      <c r="A56" s="26" t="s">
        <v>129</v>
      </c>
      <c r="B56" s="267">
        <v>0</v>
      </c>
      <c r="C56" s="267">
        <v>0</v>
      </c>
      <c r="D56" s="267">
        <v>0</v>
      </c>
      <c r="E56" s="267">
        <v>0</v>
      </c>
      <c r="F56" s="318">
        <v>0</v>
      </c>
      <c r="G56" s="15"/>
      <c r="H56" s="15"/>
    </row>
    <row r="57" spans="1:8" x14ac:dyDescent="0.25">
      <c r="A57" s="26" t="s">
        <v>130</v>
      </c>
      <c r="B57" s="267">
        <f>115000+60*12</f>
        <v>115720</v>
      </c>
      <c r="C57" s="267">
        <f>60*12</f>
        <v>720</v>
      </c>
      <c r="D57" s="267">
        <f>60*12</f>
        <v>720</v>
      </c>
      <c r="E57" s="267">
        <f>60*12</f>
        <v>720</v>
      </c>
      <c r="F57" s="318">
        <f>60*12</f>
        <v>720</v>
      </c>
      <c r="G57" s="15"/>
      <c r="H57" s="15"/>
    </row>
    <row r="58" spans="1:8" x14ac:dyDescent="0.25">
      <c r="A58" s="26" t="s">
        <v>106</v>
      </c>
      <c r="B58" s="319">
        <f>5%*'Aux E-Costos'!$J$82+5%*'Aux E-Costos'!$J$83+'Aux E-Costos'!$J$84+0.04%*$D$88+1.2%*$D$88</f>
        <v>871880.4</v>
      </c>
      <c r="C58" s="319">
        <f>5%*'Aux E-Costos'!$J$82+5%*'Aux E-Costos'!$J$83+'Aux E-Costos'!$J$84+0.04%*$D$88+1.2%*$D$88</f>
        <v>871880.4</v>
      </c>
      <c r="D58" s="319">
        <f>5%*'Aux E-Costos'!$J$82+5%*'Aux E-Costos'!$J$83+'Aux E-Costos'!$J$84+0.04%*$D$88+1.2%*$D$88</f>
        <v>871880.4</v>
      </c>
      <c r="E58" s="319">
        <f>5%*'Aux E-Costos'!$J$82+5%*'Aux E-Costos'!$J$83+'Aux E-Costos'!$J$84+0.04%*$D$88+1.2%*$D$88</f>
        <v>871880.4</v>
      </c>
      <c r="F58" s="319">
        <f>5%*'Aux E-Costos'!$J$82+5%*'Aux E-Costos'!$J$83+'Aux E-Costos'!$J$84+0.04%*$D$88+1.2%*$D$88</f>
        <v>871880.4</v>
      </c>
      <c r="G58" s="15"/>
      <c r="H58" s="15"/>
    </row>
    <row r="59" spans="1:8" x14ac:dyDescent="0.25">
      <c r="A59" s="26" t="s">
        <v>21</v>
      </c>
      <c r="B59" s="267">
        <f>InfoInicial!$B$15*SUM(B52:B58)</f>
        <v>236239.7319181092</v>
      </c>
      <c r="C59" s="267">
        <f>InfoInicial!$B$15*SUM(C52:C58)</f>
        <v>234657.643728536</v>
      </c>
      <c r="D59" s="267">
        <f>InfoInicial!$B$15*SUM(D52:D58)</f>
        <v>234657.643728536</v>
      </c>
      <c r="E59" s="267">
        <f>InfoInicial!$B$15*SUM(E52:E58)</f>
        <v>234557.643728536</v>
      </c>
      <c r="F59" s="267">
        <f>InfoInicial!$B$15*SUM(F52:F58)</f>
        <v>234557.643728536</v>
      </c>
      <c r="G59" s="15"/>
      <c r="H59" s="15"/>
    </row>
    <row r="60" spans="1:8" x14ac:dyDescent="0.25">
      <c r="A60" s="26"/>
      <c r="B60" s="15"/>
      <c r="C60" s="319"/>
      <c r="D60" s="319"/>
      <c r="E60" s="319"/>
      <c r="F60" s="319"/>
      <c r="G60" s="15"/>
      <c r="H60" s="15"/>
    </row>
    <row r="61" spans="1:8" ht="13" x14ac:dyDescent="0.3">
      <c r="A61" s="24" t="s">
        <v>131</v>
      </c>
      <c r="B61" s="267">
        <f>SUM(B52:B59)</f>
        <v>6142233.0298708398</v>
      </c>
      <c r="C61" s="267">
        <f>SUM(C52:C59)</f>
        <v>6101098.7369419355</v>
      </c>
      <c r="D61" s="267">
        <f>SUM(D52:D59)</f>
        <v>6101098.7369419355</v>
      </c>
      <c r="E61" s="267">
        <f>SUM(E52:E59)</f>
        <v>6098498.7369419355</v>
      </c>
      <c r="F61" s="267">
        <f>SUM(F52:F59)</f>
        <v>6098498.7369419355</v>
      </c>
      <c r="G61" s="15"/>
      <c r="H61" s="15"/>
    </row>
    <row r="62" spans="1:8" ht="13" x14ac:dyDescent="0.3">
      <c r="A62" s="24"/>
      <c r="B62" s="85"/>
      <c r="C62" s="85"/>
      <c r="D62" s="85"/>
      <c r="E62" s="85"/>
      <c r="F62" s="86"/>
      <c r="G62" s="76"/>
      <c r="H62" s="15"/>
    </row>
    <row r="63" spans="1:8" ht="13" x14ac:dyDescent="0.3">
      <c r="A63" s="69" t="s">
        <v>108</v>
      </c>
      <c r="B63" s="87">
        <v>1</v>
      </c>
      <c r="C63" s="87">
        <v>1</v>
      </c>
      <c r="D63" s="87">
        <v>1</v>
      </c>
      <c r="E63" s="87">
        <v>1</v>
      </c>
      <c r="F63" s="87">
        <v>1</v>
      </c>
      <c r="G63" s="225"/>
      <c r="H63" s="15"/>
    </row>
    <row r="64" spans="1:8" ht="13.5" thickBot="1" x14ac:dyDescent="0.35">
      <c r="A64" s="34" t="s">
        <v>109</v>
      </c>
      <c r="B64" s="82">
        <v>0</v>
      </c>
      <c r="C64" s="82">
        <v>0</v>
      </c>
      <c r="D64" s="82">
        <v>0</v>
      </c>
      <c r="E64" s="82">
        <v>0</v>
      </c>
      <c r="F64" s="82">
        <v>0</v>
      </c>
      <c r="G64" s="225"/>
      <c r="H64" s="15"/>
    </row>
    <row r="65" spans="1:8" ht="13" thickTop="1" x14ac:dyDescent="0.25">
      <c r="A65" s="15"/>
      <c r="B65" s="15"/>
      <c r="C65" s="15"/>
      <c r="D65" s="15"/>
      <c r="E65" s="15"/>
      <c r="F65" s="15"/>
      <c r="G65" s="15"/>
      <c r="H65" s="15"/>
    </row>
    <row r="66" spans="1:8" ht="13" thickBot="1" x14ac:dyDescent="0.3">
      <c r="A66" s="15"/>
      <c r="B66" s="15"/>
      <c r="C66" s="15"/>
      <c r="D66" s="15"/>
      <c r="E66" s="15"/>
      <c r="F66" s="15"/>
      <c r="G66" s="15"/>
      <c r="H66" s="15"/>
    </row>
    <row r="67" spans="1:8" ht="13.5" thickTop="1" x14ac:dyDescent="0.3">
      <c r="A67" s="32"/>
      <c r="B67" s="17" t="s">
        <v>132</v>
      </c>
      <c r="C67" s="17"/>
      <c r="D67" s="17"/>
      <c r="E67" s="17"/>
      <c r="F67" s="18"/>
      <c r="G67" s="15"/>
      <c r="H67" s="15"/>
    </row>
    <row r="68" spans="1:8" ht="13.5" thickBot="1" x14ac:dyDescent="0.35">
      <c r="A68" s="83" t="s">
        <v>94</v>
      </c>
      <c r="B68" s="20" t="s">
        <v>54</v>
      </c>
      <c r="C68" s="20" t="s">
        <v>95</v>
      </c>
      <c r="D68" s="20" t="s">
        <v>96</v>
      </c>
      <c r="E68" s="20" t="s">
        <v>97</v>
      </c>
      <c r="F68" s="21" t="s">
        <v>98</v>
      </c>
      <c r="G68" s="15"/>
      <c r="H68" s="15"/>
    </row>
    <row r="69" spans="1:8" ht="13" thickTop="1" x14ac:dyDescent="0.25">
      <c r="A69" s="22" t="s">
        <v>126</v>
      </c>
      <c r="B69" s="320">
        <f>'Aux E-Costos'!$N$15+'Aux E-Costos'!$N$16+'Aux E-Costos'!$N$19+'Aux E-Costos'!$N$24+'Aux E-Costos'!$N$26+'Aux E-Costos'!$N$27</f>
        <v>5076000</v>
      </c>
      <c r="C69" s="320">
        <f>'Aux E-Costos'!$N$15+'Aux E-Costos'!$N$16+'Aux E-Costos'!$N$19+'Aux E-Costos'!$N$24+'Aux E-Costos'!$N$26+'Aux E-Costos'!$N$27</f>
        <v>5076000</v>
      </c>
      <c r="D69" s="320">
        <f>'Aux E-Costos'!$N$15+'Aux E-Costos'!$N$16+'Aux E-Costos'!$N$19+'Aux E-Costos'!$N$24+'Aux E-Costos'!$N$26+'Aux E-Costos'!$N$27</f>
        <v>5076000</v>
      </c>
      <c r="E69" s="320">
        <f>'Aux E-Costos'!$N$15+'Aux E-Costos'!$N$16+'Aux E-Costos'!$N$19+'Aux E-Costos'!$N$24+'Aux E-Costos'!$N$26+'Aux E-Costos'!$N$27</f>
        <v>5076000</v>
      </c>
      <c r="F69" s="320">
        <f>'Aux E-Costos'!$N$15+'Aux E-Costos'!$N$16+'Aux E-Costos'!$N$19+'Aux E-Costos'!$N$24+'Aux E-Costos'!$N$26+'Aux E-Costos'!$N$27</f>
        <v>5076000</v>
      </c>
      <c r="G69" s="15"/>
      <c r="H69" s="15"/>
    </row>
    <row r="70" spans="1:8" x14ac:dyDescent="0.25">
      <c r="A70" s="26" t="s">
        <v>127</v>
      </c>
      <c r="B70" s="302">
        <f>'E-Inv AF y Am'!$D$56*0.05</f>
        <v>99120.320000000007</v>
      </c>
      <c r="C70" s="302">
        <f>'E-Inv AF y Am'!$D$56*0.05</f>
        <v>99120.320000000007</v>
      </c>
      <c r="D70" s="302">
        <f>'E-Inv AF y Am'!$D$56*0.05</f>
        <v>99120.320000000007</v>
      </c>
      <c r="E70" s="302">
        <f>'E-Inv AF y Am'!$E$56*0.05</f>
        <v>96620.32</v>
      </c>
      <c r="F70" s="302">
        <f>'E-Inv AF y Am'!$E$56*0.05</f>
        <v>96620.32</v>
      </c>
      <c r="G70" s="15"/>
      <c r="H70" s="15"/>
    </row>
    <row r="71" spans="1:8" x14ac:dyDescent="0.25">
      <c r="A71" s="26" t="s">
        <v>103</v>
      </c>
      <c r="B71" s="268">
        <f>SUM('Aux E-Costos'!J69:J72)</f>
        <v>1697184.8820000002</v>
      </c>
      <c r="C71" s="268">
        <f>SUM('Aux E-Costos'!$K$69:$K$72)</f>
        <v>2042315.5320000001</v>
      </c>
      <c r="D71" s="268">
        <f>SUM('Aux E-Costos'!$K$69:$K$72)</f>
        <v>2042315.5320000001</v>
      </c>
      <c r="E71" s="268">
        <f>SUM('Aux E-Costos'!$K$69:$K$72)</f>
        <v>2042315.5320000001</v>
      </c>
      <c r="F71" s="268">
        <f>SUM('Aux E-Costos'!$K$69:$K$72)</f>
        <v>2042315.5320000001</v>
      </c>
      <c r="G71" s="15"/>
      <c r="H71" s="15"/>
    </row>
    <row r="72" spans="1:8" x14ac:dyDescent="0.25">
      <c r="A72" s="26" t="s">
        <v>133</v>
      </c>
      <c r="B72" s="268">
        <f>C72*95%</f>
        <v>460.59915273000001</v>
      </c>
      <c r="C72" s="268">
        <f>$C$13*2%</f>
        <v>484.84121340000002</v>
      </c>
      <c r="D72" s="268">
        <f>$C$13*2%</f>
        <v>484.84121340000002</v>
      </c>
      <c r="E72" s="268">
        <f>$C$13*2%</f>
        <v>484.84121340000002</v>
      </c>
      <c r="F72" s="268">
        <f>$C$13*2%</f>
        <v>484.84121340000002</v>
      </c>
      <c r="G72" s="15"/>
      <c r="H72" s="15"/>
    </row>
    <row r="73" spans="1:8" x14ac:dyDescent="0.25">
      <c r="A73" s="26" t="s">
        <v>129</v>
      </c>
      <c r="B73" s="268">
        <f>1500*6*4*12</f>
        <v>432000</v>
      </c>
      <c r="C73" s="268">
        <f>1500*6*4*12</f>
        <v>432000</v>
      </c>
      <c r="D73" s="268">
        <f>1500*6*4*12</f>
        <v>432000</v>
      </c>
      <c r="E73" s="268">
        <f>1500*6*4*12</f>
        <v>432000</v>
      </c>
      <c r="F73" s="268">
        <f>1500*6*4*12</f>
        <v>432000</v>
      </c>
      <c r="G73" s="15"/>
      <c r="H73" s="15"/>
    </row>
    <row r="74" spans="1:8" x14ac:dyDescent="0.25">
      <c r="A74" s="26" t="s">
        <v>130</v>
      </c>
      <c r="B74" s="302">
        <v>18000</v>
      </c>
      <c r="C74" s="302">
        <v>18000</v>
      </c>
      <c r="D74" s="302">
        <v>18000</v>
      </c>
      <c r="E74" s="302">
        <v>18000</v>
      </c>
      <c r="F74" s="302">
        <v>18000</v>
      </c>
      <c r="G74" s="15"/>
      <c r="H74" s="15"/>
    </row>
    <row r="75" spans="1:8" x14ac:dyDescent="0.25">
      <c r="A75" s="26" t="s">
        <v>106</v>
      </c>
      <c r="B75" s="268">
        <f>5%*'Aux E-Costos'!$J$82+5%*'Aux E-Costos'!$J$83+'Aux E-Costos'!$J$84+0.04%*$D$88+1.2%*$D$88</f>
        <v>871880.4</v>
      </c>
      <c r="C75" s="268">
        <f>5%*'Aux E-Costos'!$J$82+5%*'Aux E-Costos'!$J$83+'Aux E-Costos'!$J$84+0.04%*$D$88+1.2%*$D$88</f>
        <v>871880.4</v>
      </c>
      <c r="D75" s="268">
        <f>5%*'Aux E-Costos'!$J$82+5%*'Aux E-Costos'!$J$83+'Aux E-Costos'!$J$84+0.04%*$D$88+1.2%*$D$88</f>
        <v>871880.4</v>
      </c>
      <c r="E75" s="268">
        <f>5%*'Aux E-Costos'!$J$82+5%*'Aux E-Costos'!$J$83+'Aux E-Costos'!$J$84+0.04%*$D$88+1.2%*$D$88</f>
        <v>871880.4</v>
      </c>
      <c r="F75" s="268">
        <f>5%*'Aux E-Costos'!$J$82+5%*'Aux E-Costos'!$J$83+'Aux E-Costos'!$J$84+0.04%*$D$88+1.2%*$D$88</f>
        <v>871880.4</v>
      </c>
      <c r="G75" s="15"/>
      <c r="H75" s="15"/>
    </row>
    <row r="76" spans="1:8" x14ac:dyDescent="0.25">
      <c r="A76" s="26" t="s">
        <v>21</v>
      </c>
      <c r="B76" s="64">
        <f>InfoInicial!$B$15*SUM(B69:B75)</f>
        <v>327785.84804610925</v>
      </c>
      <c r="C76" s="64">
        <f>InfoInicial!$B$15*SUM(C69:C75)</f>
        <v>341592.04372853599</v>
      </c>
      <c r="D76" s="64">
        <f>InfoInicial!$B$15*SUM(D69:D75)</f>
        <v>341592.04372853599</v>
      </c>
      <c r="E76" s="64">
        <f>InfoInicial!$B$15*SUM(E69:E75)</f>
        <v>341492.04372853599</v>
      </c>
      <c r="F76" s="64">
        <f>InfoInicial!$B$15*SUM(F69:F75)</f>
        <v>341492.04372853599</v>
      </c>
      <c r="G76" s="15"/>
      <c r="H76" s="15"/>
    </row>
    <row r="77" spans="1:8" x14ac:dyDescent="0.25">
      <c r="A77" s="26"/>
      <c r="B77" s="46"/>
      <c r="C77" s="46"/>
      <c r="D77" s="46"/>
      <c r="E77" s="46"/>
      <c r="F77" s="49"/>
      <c r="G77" s="15"/>
      <c r="H77" s="15"/>
    </row>
    <row r="78" spans="1:8" ht="13" x14ac:dyDescent="0.3">
      <c r="A78" s="24" t="s">
        <v>134</v>
      </c>
      <c r="B78" s="64">
        <f>SUM(B69:B76)</f>
        <v>8522432.0491988398</v>
      </c>
      <c r="C78" s="64">
        <f>SUM(C69:C76)</f>
        <v>8881393.1369419359</v>
      </c>
      <c r="D78" s="64">
        <f>SUM(D69:D76)</f>
        <v>8881393.1369419359</v>
      </c>
      <c r="E78" s="64">
        <f>SUM(E69:E76)</f>
        <v>8878793.1369419359</v>
      </c>
      <c r="F78" s="64">
        <f>SUM(F69:F76)</f>
        <v>8878793.1369419359</v>
      </c>
      <c r="G78" s="15"/>
      <c r="H78" s="15"/>
    </row>
    <row r="79" spans="1:8" ht="13" x14ac:dyDescent="0.3">
      <c r="A79" s="24"/>
      <c r="B79" s="85"/>
      <c r="C79" s="85"/>
      <c r="D79" s="85"/>
      <c r="E79" s="85"/>
      <c r="F79" s="86"/>
      <c r="G79" s="15"/>
      <c r="H79" s="15"/>
    </row>
    <row r="80" spans="1:8" ht="13" x14ac:dyDescent="0.3">
      <c r="A80" s="69" t="s">
        <v>108</v>
      </c>
      <c r="B80" s="87">
        <f>(B69+B70+B71+B72+B73+B75+(0.5*B76))/B78</f>
        <v>0.97865715760794436</v>
      </c>
      <c r="C80" s="87">
        <f>(C69+C70+C71+C72+C73+C75+(0.5*C76))/C78</f>
        <v>0.97874252170203158</v>
      </c>
      <c r="D80" s="87">
        <f>(D69+D70+D71+D72+D73+D75+(0.5*D76))/D78</f>
        <v>0.97874252170203158</v>
      </c>
      <c r="E80" s="87">
        <f>(E69+E70+E71+E72+E73+E75+(0.5*E76))/E78</f>
        <v>0.97874192821556405</v>
      </c>
      <c r="F80" s="87">
        <f>(F69+F70+F71+F72+F73+F75+(0.5*F76))/F78</f>
        <v>0.97874192821556405</v>
      </c>
      <c r="G80" s="15"/>
      <c r="H80" s="15"/>
    </row>
    <row r="81" spans="1:8" ht="13.5" thickBot="1" x14ac:dyDescent="0.35">
      <c r="A81" s="34" t="s">
        <v>109</v>
      </c>
      <c r="B81" s="82">
        <f>(B74+(0.5*B76))/B78</f>
        <v>2.1342842392055642E-2</v>
      </c>
      <c r="C81" s="82">
        <f>(C74+(0.5*C76))/C78</f>
        <v>2.1257478297968323E-2</v>
      </c>
      <c r="D81" s="82">
        <f>(D74+(0.5*D76))/D78</f>
        <v>2.1257478297968323E-2</v>
      </c>
      <c r="E81" s="82">
        <f>(E74+(0.5*E76))/E78</f>
        <v>2.1258071784435846E-2</v>
      </c>
      <c r="F81" s="82">
        <f>(F74+(0.5*F76))/F78</f>
        <v>2.1258071784435846E-2</v>
      </c>
      <c r="G81" s="15"/>
      <c r="H81" s="15"/>
    </row>
    <row r="82" spans="1:8" ht="13" thickTop="1" x14ac:dyDescent="0.25">
      <c r="A82" s="15"/>
      <c r="B82" s="15"/>
      <c r="C82" s="15"/>
      <c r="D82" s="15"/>
      <c r="E82" s="15"/>
      <c r="F82" s="15"/>
      <c r="G82" s="15"/>
      <c r="H82" s="15"/>
    </row>
    <row r="83" spans="1:8" ht="13" thickBot="1" x14ac:dyDescent="0.3">
      <c r="A83" s="15"/>
      <c r="B83" s="15"/>
      <c r="C83" s="15"/>
      <c r="D83" s="15"/>
      <c r="E83" s="15"/>
      <c r="F83" s="15"/>
      <c r="G83" s="15"/>
      <c r="H83" s="15"/>
    </row>
    <row r="84" spans="1:8" ht="16" thickTop="1" x14ac:dyDescent="0.35">
      <c r="A84" s="89" t="s">
        <v>135</v>
      </c>
      <c r="B84" s="90"/>
      <c r="C84" s="90"/>
      <c r="D84" s="90"/>
      <c r="E84" s="90"/>
      <c r="F84" s="91"/>
      <c r="G84" s="15"/>
      <c r="H84" s="15"/>
    </row>
    <row r="85" spans="1:8" ht="13.5" thickBot="1" x14ac:dyDescent="0.35">
      <c r="A85" s="26"/>
      <c r="B85" s="60" t="s">
        <v>54</v>
      </c>
      <c r="C85" s="60" t="s">
        <v>95</v>
      </c>
      <c r="D85" s="60" t="s">
        <v>96</v>
      </c>
      <c r="E85" s="60" t="s">
        <v>97</v>
      </c>
      <c r="F85" s="21" t="s">
        <v>98</v>
      </c>
      <c r="G85" s="15"/>
      <c r="H85" s="15"/>
    </row>
    <row r="86" spans="1:8" ht="13" thickTop="1" x14ac:dyDescent="0.25">
      <c r="A86" s="26" t="s">
        <v>136</v>
      </c>
      <c r="B86" s="321">
        <v>34190.43</v>
      </c>
      <c r="C86" s="321">
        <v>42000</v>
      </c>
      <c r="D86" s="321">
        <v>42000</v>
      </c>
      <c r="E86" s="321">
        <v>42000</v>
      </c>
      <c r="F86" s="322">
        <v>42000</v>
      </c>
      <c r="G86" s="15"/>
      <c r="H86" s="15"/>
    </row>
    <row r="87" spans="1:8" x14ac:dyDescent="0.25">
      <c r="A87" s="26" t="s">
        <v>137</v>
      </c>
      <c r="B87" s="378">
        <v>1500</v>
      </c>
      <c r="C87" s="378">
        <v>1500</v>
      </c>
      <c r="D87" s="378">
        <v>1500</v>
      </c>
      <c r="E87" s="378">
        <v>1500</v>
      </c>
      <c r="F87" s="378">
        <v>1500</v>
      </c>
      <c r="G87" s="15"/>
      <c r="H87" s="15"/>
    </row>
    <row r="88" spans="1:8" ht="13" x14ac:dyDescent="0.3">
      <c r="A88" s="24" t="s">
        <v>138</v>
      </c>
      <c r="B88" s="296">
        <f>B86*B87</f>
        <v>51285645</v>
      </c>
      <c r="C88" s="296">
        <f>C86*C87</f>
        <v>63000000</v>
      </c>
      <c r="D88" s="296">
        <f>D86*D87</f>
        <v>63000000</v>
      </c>
      <c r="E88" s="296">
        <f>E86*E87</f>
        <v>63000000</v>
      </c>
      <c r="F88" s="296">
        <f>F86*F87</f>
        <v>63000000</v>
      </c>
      <c r="G88" s="15"/>
      <c r="H88" s="15"/>
    </row>
    <row r="89" spans="1:8" x14ac:dyDescent="0.25">
      <c r="A89" s="26"/>
      <c r="B89" s="85"/>
      <c r="C89" s="85"/>
      <c r="D89" s="85"/>
      <c r="E89" s="85"/>
      <c r="F89" s="86"/>
      <c r="G89" s="15"/>
      <c r="H89" s="15"/>
    </row>
    <row r="90" spans="1:8" x14ac:dyDescent="0.25">
      <c r="A90" s="26" t="s">
        <v>139</v>
      </c>
      <c r="B90" s="296">
        <f t="shared" ref="B90:F91" si="1">B7</f>
        <v>13220149.953659998</v>
      </c>
      <c r="C90" s="296">
        <f t="shared" si="1"/>
        <v>15594022.079999998</v>
      </c>
      <c r="D90" s="296">
        <f t="shared" si="1"/>
        <v>15594022.079999998</v>
      </c>
      <c r="E90" s="296">
        <f t="shared" si="1"/>
        <v>15594022.079999998</v>
      </c>
      <c r="F90" s="296">
        <f t="shared" si="1"/>
        <v>15594022.079999998</v>
      </c>
      <c r="G90" s="15"/>
      <c r="H90" s="15"/>
    </row>
    <row r="91" spans="1:8" x14ac:dyDescent="0.25">
      <c r="A91" s="26" t="s">
        <v>100</v>
      </c>
      <c r="B91" s="296">
        <f t="shared" si="1"/>
        <v>5400000</v>
      </c>
      <c r="C91" s="296">
        <f t="shared" si="1"/>
        <v>5400000</v>
      </c>
      <c r="D91" s="296">
        <f t="shared" si="1"/>
        <v>5400000</v>
      </c>
      <c r="E91" s="296">
        <f t="shared" si="1"/>
        <v>5400000</v>
      </c>
      <c r="F91" s="296">
        <f t="shared" si="1"/>
        <v>5400000</v>
      </c>
      <c r="G91" s="15"/>
      <c r="H91" s="15"/>
    </row>
    <row r="92" spans="1:8" x14ac:dyDescent="0.25">
      <c r="A92" s="26" t="s">
        <v>140</v>
      </c>
      <c r="B92" s="296">
        <f>SUM(B11:B16)</f>
        <v>3587318.4724883595</v>
      </c>
      <c r="C92" s="296">
        <f>SUM(C11:C16)</f>
        <v>3683533.9446967999</v>
      </c>
      <c r="D92" s="296">
        <f>SUM(D11:D16)</f>
        <v>3683533.9446967999</v>
      </c>
      <c r="E92" s="296">
        <f>SUM(E11:E16)</f>
        <v>3636733.9446967999</v>
      </c>
      <c r="F92" s="296">
        <f>SUM(F11:F16)</f>
        <v>3636733.9446967999</v>
      </c>
      <c r="G92" s="15"/>
      <c r="H92" s="15"/>
    </row>
    <row r="93" spans="1:8" x14ac:dyDescent="0.25">
      <c r="A93" s="26"/>
      <c r="B93" s="85"/>
      <c r="C93" s="85"/>
      <c r="D93" s="85"/>
      <c r="E93" s="85"/>
      <c r="F93" s="86"/>
      <c r="G93" s="15"/>
      <c r="H93" s="15"/>
    </row>
    <row r="94" spans="1:8" ht="13" x14ac:dyDescent="0.3">
      <c r="A94" s="26" t="s">
        <v>141</v>
      </c>
      <c r="B94" s="92">
        <f>B17</f>
        <v>24907468.426148359</v>
      </c>
      <c r="C94" s="92">
        <f>C17</f>
        <v>27377556.024696797</v>
      </c>
      <c r="D94" s="92">
        <f>D17</f>
        <v>27377556.024696797</v>
      </c>
      <c r="E94" s="92">
        <f>E17</f>
        <v>27330756.024696797</v>
      </c>
      <c r="F94" s="92">
        <f>F17</f>
        <v>27330756.024696797</v>
      </c>
      <c r="G94" s="15"/>
      <c r="H94" s="15"/>
    </row>
    <row r="95" spans="1:8" x14ac:dyDescent="0.25">
      <c r="A95" s="26"/>
      <c r="B95" s="85"/>
      <c r="C95" s="85"/>
      <c r="D95" s="85"/>
      <c r="E95" s="85"/>
      <c r="F95" s="86"/>
      <c r="G95" s="15"/>
      <c r="H95" s="15"/>
    </row>
    <row r="96" spans="1:8" x14ac:dyDescent="0.25">
      <c r="A96" s="26" t="s">
        <v>120</v>
      </c>
      <c r="B96" s="85"/>
      <c r="C96" s="85"/>
      <c r="D96" s="85"/>
      <c r="E96" s="85"/>
      <c r="F96" s="86"/>
      <c r="G96" s="15"/>
      <c r="H96" s="15"/>
    </row>
    <row r="97" spans="1:8" x14ac:dyDescent="0.25">
      <c r="A97" s="28" t="s">
        <v>112</v>
      </c>
      <c r="B97" s="296">
        <f>G35</f>
        <v>502964.92270114704</v>
      </c>
      <c r="C97" s="296"/>
      <c r="D97" s="296"/>
      <c r="E97" s="296"/>
      <c r="F97" s="65"/>
      <c r="G97" s="15"/>
      <c r="H97" s="15"/>
    </row>
    <row r="98" spans="1:8" x14ac:dyDescent="0.25">
      <c r="A98" s="28" t="s">
        <v>122</v>
      </c>
      <c r="B98" s="296">
        <f>0-B35</f>
        <v>-386664.53247492545</v>
      </c>
      <c r="C98" s="296">
        <f>B35-C35</f>
        <v>3681.8770473727491</v>
      </c>
      <c r="D98" s="296">
        <f>C35-D35</f>
        <v>0</v>
      </c>
      <c r="E98" s="296">
        <f>D35-E35</f>
        <v>352.69371428567683</v>
      </c>
      <c r="F98" s="296">
        <f>E35-F35</f>
        <v>0</v>
      </c>
      <c r="G98" s="15"/>
      <c r="H98" s="15"/>
    </row>
    <row r="99" spans="1:8" x14ac:dyDescent="0.25">
      <c r="A99" s="26"/>
      <c r="B99" s="85"/>
      <c r="C99" s="85"/>
      <c r="D99" s="85"/>
      <c r="E99" s="85"/>
      <c r="F99" s="86"/>
      <c r="G99" s="15"/>
      <c r="H99" s="15"/>
    </row>
    <row r="100" spans="1:8" ht="13" x14ac:dyDescent="0.3">
      <c r="A100" s="24" t="s">
        <v>142</v>
      </c>
      <c r="B100" s="296">
        <f>B94-B97-B98</f>
        <v>24791168.035922136</v>
      </c>
      <c r="C100" s="296">
        <f>C94-C97-C98</f>
        <v>27373874.147649426</v>
      </c>
      <c r="D100" s="296">
        <f>D94-D97-D98</f>
        <v>27377556.024696797</v>
      </c>
      <c r="E100" s="296">
        <f>E94-E97-E98</f>
        <v>27330403.33098251</v>
      </c>
      <c r="F100" s="296">
        <f>F94-F97-F98</f>
        <v>27330756.024696797</v>
      </c>
      <c r="G100" s="15"/>
      <c r="H100" s="15"/>
    </row>
    <row r="101" spans="1:8" ht="13" x14ac:dyDescent="0.3">
      <c r="A101" s="28" t="s">
        <v>143</v>
      </c>
      <c r="B101" s="379">
        <v>34330.43</v>
      </c>
      <c r="C101" s="379">
        <v>42000</v>
      </c>
      <c r="D101" s="379">
        <v>42000</v>
      </c>
      <c r="E101" s="379">
        <v>42000</v>
      </c>
      <c r="F101" s="380">
        <v>42000</v>
      </c>
      <c r="G101" s="15"/>
      <c r="H101" s="15"/>
    </row>
    <row r="102" spans="1:8" x14ac:dyDescent="0.25">
      <c r="A102" s="26" t="s">
        <v>144</v>
      </c>
      <c r="B102" s="230">
        <f>(B94-B97-B98)/B101</f>
        <v>722.13392130311615</v>
      </c>
      <c r="C102" s="230">
        <f>(C94-C97-C98)/C101</f>
        <v>651.75890827736725</v>
      </c>
      <c r="D102" s="230">
        <f>(D94-D97-D98)/D101</f>
        <v>651.84657201659036</v>
      </c>
      <c r="E102" s="230">
        <f>(E94-E97-E98)/E101</f>
        <v>650.72388883291694</v>
      </c>
      <c r="F102" s="230">
        <f>(F94-F97-F98)/F101</f>
        <v>650.73228630230471</v>
      </c>
      <c r="G102" s="15"/>
      <c r="H102" s="15"/>
    </row>
    <row r="103" spans="1:8" ht="13" x14ac:dyDescent="0.3">
      <c r="A103" s="26"/>
      <c r="B103" s="93"/>
      <c r="C103" s="93"/>
      <c r="D103" s="93"/>
      <c r="E103" s="93"/>
      <c r="F103" s="94"/>
      <c r="G103" s="15"/>
      <c r="H103" s="15"/>
    </row>
    <row r="104" spans="1:8" ht="13" x14ac:dyDescent="0.3">
      <c r="A104" s="26" t="s">
        <v>120</v>
      </c>
      <c r="B104" s="93"/>
      <c r="C104" s="93"/>
      <c r="D104" s="93" t="s">
        <v>403</v>
      </c>
      <c r="E104" s="93"/>
      <c r="F104" s="94" t="s">
        <v>403</v>
      </c>
      <c r="G104" s="15"/>
      <c r="H104" s="15"/>
    </row>
    <row r="105" spans="1:8" x14ac:dyDescent="0.25">
      <c r="A105" s="26" t="s">
        <v>145</v>
      </c>
      <c r="B105" s="296">
        <f>0-('Aux E-Costos'!$M$8*B102)</f>
        <v>-257806.14270874026</v>
      </c>
      <c r="C105" s="296">
        <f>('Aux E-Costos'!$M$8*B102)-('Aux E-Costos'!$M$8*C102)</f>
        <v>25124.301900270511</v>
      </c>
      <c r="D105" s="296">
        <f>('Aux E-Costos'!$M$8*C102)-('Aux E-Costos'!$M$8*D102)</f>
        <v>-31.296480885095662</v>
      </c>
      <c r="E105" s="296">
        <f>('Aux E-Costos'!$M$8*D102)-('Aux E-Costos'!$M$8*E102)</f>
        <v>400.804632670508</v>
      </c>
      <c r="F105" s="296">
        <f>('Aux E-Costos'!$M$8*E102)-('Aux E-Costos'!$M$8*F102)</f>
        <v>-2.9979469562531449</v>
      </c>
      <c r="G105" s="15"/>
      <c r="H105" s="15"/>
    </row>
    <row r="106" spans="1:8" ht="13" x14ac:dyDescent="0.3">
      <c r="A106" s="26"/>
      <c r="B106" s="93"/>
      <c r="C106" s="93"/>
      <c r="D106" s="93"/>
      <c r="E106" s="93"/>
      <c r="F106" s="94"/>
      <c r="G106" s="15"/>
      <c r="H106" s="15"/>
    </row>
    <row r="107" spans="1:8" ht="13" x14ac:dyDescent="0.3">
      <c r="A107" s="24" t="s">
        <v>146</v>
      </c>
      <c r="B107" s="226">
        <f>B100+B105</f>
        <v>24533361.893213395</v>
      </c>
      <c r="C107" s="226">
        <f>C100+C105</f>
        <v>27398998.449549697</v>
      </c>
      <c r="D107" s="226">
        <f>D100+D105</f>
        <v>27377524.72821591</v>
      </c>
      <c r="E107" s="226">
        <f>E100+E105</f>
        <v>27330804.135615181</v>
      </c>
      <c r="F107" s="226">
        <f>F100+F105</f>
        <v>27330753.026749842</v>
      </c>
      <c r="G107" s="15"/>
      <c r="H107" s="15"/>
    </row>
    <row r="108" spans="1:8" x14ac:dyDescent="0.25">
      <c r="A108" s="26"/>
      <c r="B108" s="85"/>
      <c r="C108" s="85"/>
      <c r="D108" s="85"/>
      <c r="E108" s="85"/>
      <c r="F108" s="86"/>
      <c r="G108" s="15"/>
      <c r="H108" s="15"/>
    </row>
    <row r="109" spans="1:8" ht="13" x14ac:dyDescent="0.3">
      <c r="A109" s="24" t="s">
        <v>147</v>
      </c>
      <c r="B109" s="64">
        <f>B61</f>
        <v>6142233.0298708398</v>
      </c>
      <c r="C109" s="64">
        <f>C61</f>
        <v>6101098.7369419355</v>
      </c>
      <c r="D109" s="64">
        <f>D61</f>
        <v>6101098.7369419355</v>
      </c>
      <c r="E109" s="64">
        <f>E61</f>
        <v>6098498.7369419355</v>
      </c>
      <c r="F109" s="64">
        <f>F61</f>
        <v>6098498.7369419355</v>
      </c>
      <c r="G109" s="15"/>
      <c r="H109" s="15"/>
    </row>
    <row r="110" spans="1:8" ht="13" x14ac:dyDescent="0.3">
      <c r="A110" s="24" t="s">
        <v>148</v>
      </c>
      <c r="B110" s="92">
        <f>B78</f>
        <v>8522432.0491988398</v>
      </c>
      <c r="C110" s="92">
        <f>C78</f>
        <v>8881393.1369419359</v>
      </c>
      <c r="D110" s="92">
        <f>D78</f>
        <v>8881393.1369419359</v>
      </c>
      <c r="E110" s="92">
        <f>E78</f>
        <v>8878793.1369419359</v>
      </c>
      <c r="F110" s="92">
        <f>F78</f>
        <v>8878793.1369419359</v>
      </c>
      <c r="G110" s="15"/>
      <c r="H110" s="15"/>
    </row>
    <row r="111" spans="1:8" ht="13" x14ac:dyDescent="0.3">
      <c r="A111" s="26"/>
      <c r="B111" s="93"/>
      <c r="C111" s="93"/>
      <c r="D111" s="93"/>
      <c r="E111" s="93"/>
      <c r="F111" s="94"/>
      <c r="G111" s="15"/>
      <c r="H111" s="15"/>
    </row>
    <row r="112" spans="1:8" ht="13" x14ac:dyDescent="0.3">
      <c r="A112" s="24" t="s">
        <v>149</v>
      </c>
      <c r="B112" s="230">
        <f>B107+B109+B110</f>
        <v>39198026.97228308</v>
      </c>
      <c r="C112" s="230">
        <f>C107+C109+C110</f>
        <v>42381490.323433563</v>
      </c>
      <c r="D112" s="230">
        <f>D107+D109+D110</f>
        <v>42360016.602099776</v>
      </c>
      <c r="E112" s="230">
        <f>E107+E109+E110</f>
        <v>42308096.009499058</v>
      </c>
      <c r="F112" s="230">
        <f>F107+F109+F110</f>
        <v>42308044.900633708</v>
      </c>
      <c r="G112" s="15"/>
      <c r="H112" s="15"/>
    </row>
    <row r="113" spans="1:8" ht="13" x14ac:dyDescent="0.3">
      <c r="A113" s="26"/>
      <c r="B113" s="93"/>
      <c r="C113" s="93"/>
      <c r="D113" s="93"/>
      <c r="E113" s="93"/>
      <c r="F113" s="94"/>
      <c r="G113" s="15"/>
      <c r="H113" s="15"/>
    </row>
    <row r="114" spans="1:8" ht="13" x14ac:dyDescent="0.3">
      <c r="A114" s="24" t="s">
        <v>150</v>
      </c>
      <c r="B114" s="230">
        <f>B112/B101</f>
        <v>1141.7866590160122</v>
      </c>
      <c r="C114" s="230">
        <f>C112/C101</f>
        <v>1009.0831029388944</v>
      </c>
      <c r="D114" s="230">
        <f>D112/D101</f>
        <v>1008.5718238595185</v>
      </c>
      <c r="E114" s="230">
        <f>E112/E101</f>
        <v>1007.3356192737871</v>
      </c>
      <c r="F114" s="230">
        <f>F112/F101</f>
        <v>1007.3344023960407</v>
      </c>
      <c r="G114" s="15"/>
      <c r="H114" s="15"/>
    </row>
    <row r="115" spans="1:8" ht="13" x14ac:dyDescent="0.3">
      <c r="A115" s="26"/>
      <c r="B115" s="93"/>
      <c r="C115" s="93"/>
      <c r="D115" s="93"/>
      <c r="E115" s="93"/>
      <c r="F115" s="94"/>
      <c r="G115" s="15"/>
      <c r="H115" s="15"/>
    </row>
    <row r="116" spans="1:8" ht="13" x14ac:dyDescent="0.3">
      <c r="A116" s="24" t="s">
        <v>151</v>
      </c>
      <c r="B116" s="230">
        <f>B88-B112</f>
        <v>12087618.02771692</v>
      </c>
      <c r="C116" s="230">
        <f>C88-C112</f>
        <v>20618509.676566437</v>
      </c>
      <c r="D116" s="230">
        <f>D88-D112</f>
        <v>20639983.397900224</v>
      </c>
      <c r="E116" s="230">
        <f>E88-E112</f>
        <v>20691903.990500942</v>
      </c>
      <c r="F116" s="230">
        <f>F88-F112</f>
        <v>20691955.099366292</v>
      </c>
      <c r="G116" s="15"/>
      <c r="H116" s="15"/>
    </row>
    <row r="117" spans="1:8" ht="13" x14ac:dyDescent="0.3">
      <c r="A117" s="24" t="s">
        <v>5</v>
      </c>
      <c r="B117" s="92">
        <f>B116*InfoInicial!$B$5</f>
        <v>1087885.6224945227</v>
      </c>
      <c r="C117" s="92">
        <f>C116*InfoInicial!$B$5</f>
        <v>1855665.8708909792</v>
      </c>
      <c r="D117" s="92">
        <f>D116*InfoInicial!$B$5</f>
        <v>1857598.50581102</v>
      </c>
      <c r="E117" s="92">
        <f>E116*InfoInicial!$B$5</f>
        <v>1862271.3591450846</v>
      </c>
      <c r="F117" s="92">
        <f>F116*InfoInicial!$B$5</f>
        <v>1862275.9589429663</v>
      </c>
      <c r="G117" s="15"/>
      <c r="H117" s="15"/>
    </row>
    <row r="118" spans="1:8" ht="13" x14ac:dyDescent="0.3">
      <c r="A118" s="45" t="s">
        <v>152</v>
      </c>
      <c r="B118" s="92">
        <f>B116*InfoInicial!$B$4</f>
        <v>4230666.3097009221</v>
      </c>
      <c r="C118" s="92">
        <f>C116*InfoInicial!$B$4</f>
        <v>7216478.3867982524</v>
      </c>
      <c r="D118" s="92">
        <f>D116*InfoInicial!$B$4</f>
        <v>7223994.1892650779</v>
      </c>
      <c r="E118" s="92">
        <f>E116*InfoInicial!$B$4</f>
        <v>7242166.3966753297</v>
      </c>
      <c r="F118" s="92">
        <f>F116*InfoInicial!$B$4</f>
        <v>7242184.284778202</v>
      </c>
      <c r="G118" s="15"/>
      <c r="H118" s="15"/>
    </row>
    <row r="119" spans="1:8" ht="13" x14ac:dyDescent="0.3">
      <c r="A119" s="24"/>
      <c r="B119" s="93"/>
      <c r="C119" s="93"/>
      <c r="D119" s="93"/>
      <c r="E119" s="93"/>
      <c r="F119" s="94"/>
      <c r="G119" s="15"/>
      <c r="H119" s="15"/>
    </row>
    <row r="120" spans="1:8" ht="13" x14ac:dyDescent="0.3">
      <c r="A120" s="45" t="s">
        <v>153</v>
      </c>
      <c r="B120" s="230">
        <f>B116-B117-B118</f>
        <v>6769066.0955214752</v>
      </c>
      <c r="C120" s="230">
        <f>C116-C117-C118</f>
        <v>11546365.418877207</v>
      </c>
      <c r="D120" s="230">
        <f>D116-D117-D118</f>
        <v>11558390.702824125</v>
      </c>
      <c r="E120" s="230">
        <f>E116-E117-E118</f>
        <v>11587466.234680526</v>
      </c>
      <c r="F120" s="230">
        <f>F116-F117-F118</f>
        <v>11587494.855645126</v>
      </c>
      <c r="G120" s="15"/>
      <c r="H120" s="15"/>
    </row>
    <row r="121" spans="1:8" ht="13" x14ac:dyDescent="0.3">
      <c r="A121" s="24" t="s">
        <v>154</v>
      </c>
      <c r="B121" s="227">
        <f>B120/B88</f>
        <v>0.13198753950586906</v>
      </c>
      <c r="C121" s="227">
        <f>C120/C88</f>
        <v>0.18327564156947948</v>
      </c>
      <c r="D121" s="227">
        <f>D120/D88</f>
        <v>0.18346651909244643</v>
      </c>
      <c r="E121" s="227">
        <f>E120/E88</f>
        <v>0.18392803547111947</v>
      </c>
      <c r="F121" s="227">
        <f>F120/F88</f>
        <v>0.18392848977214485</v>
      </c>
      <c r="G121" s="15"/>
      <c r="H121" s="15"/>
    </row>
    <row r="122" spans="1:8" ht="13" x14ac:dyDescent="0.3">
      <c r="A122" s="24"/>
      <c r="B122" s="97"/>
      <c r="C122" s="97"/>
      <c r="D122" s="97"/>
      <c r="E122" s="97"/>
      <c r="F122" s="98"/>
      <c r="G122" s="15"/>
      <c r="H122" s="15"/>
    </row>
    <row r="123" spans="1:8" ht="13" x14ac:dyDescent="0.3">
      <c r="A123" s="24" t="s">
        <v>155</v>
      </c>
      <c r="B123" s="95"/>
      <c r="C123" s="95"/>
      <c r="D123" s="95"/>
      <c r="E123" s="95"/>
      <c r="F123" s="96"/>
      <c r="G123" s="15"/>
      <c r="H123" s="15"/>
    </row>
    <row r="124" spans="1:8" ht="13" x14ac:dyDescent="0.3">
      <c r="A124" s="45" t="s">
        <v>156</v>
      </c>
      <c r="B124" s="303">
        <f>B120</f>
        <v>6769066.0955214752</v>
      </c>
      <c r="C124" s="303">
        <f>C120</f>
        <v>11546365.418877207</v>
      </c>
      <c r="D124" s="303">
        <f>D120</f>
        <v>11558390.702824125</v>
      </c>
      <c r="E124" s="303">
        <f>E120</f>
        <v>11587466.234680526</v>
      </c>
      <c r="F124" s="303">
        <f>F120</f>
        <v>11587494.855645126</v>
      </c>
      <c r="G124" s="15"/>
      <c r="H124" s="15"/>
    </row>
    <row r="125" spans="1:8" ht="13" x14ac:dyDescent="0.3">
      <c r="A125" s="24" t="s">
        <v>157</v>
      </c>
      <c r="B125" s="224">
        <f>B70+B53+B28+B11</f>
        <v>1998856.0671423923</v>
      </c>
      <c r="C125" s="224">
        <f>C70+C53+C28+C11</f>
        <v>1995852.2130084571</v>
      </c>
      <c r="D125" s="224">
        <f>D70+D53+D28+D11</f>
        <v>1995852.2130084571</v>
      </c>
      <c r="E125" s="224">
        <f>E70+E53+E28+E11</f>
        <v>1945513.0844370285</v>
      </c>
      <c r="F125" s="224">
        <f>F70+F53+F28+F11</f>
        <v>1945513.0844370285</v>
      </c>
      <c r="G125" s="15"/>
      <c r="H125" s="15"/>
    </row>
    <row r="126" spans="1:8" ht="13.5" thickBot="1" x14ac:dyDescent="0.35">
      <c r="A126" s="34" t="s">
        <v>158</v>
      </c>
      <c r="B126" s="224">
        <f>SUM(B124:B125)</f>
        <v>8767922.1626638677</v>
      </c>
      <c r="C126" s="224">
        <f>SUM(C124:C125)</f>
        <v>13542217.631885665</v>
      </c>
      <c r="D126" s="224">
        <f>SUM(D124:D125)</f>
        <v>13554242.915832583</v>
      </c>
      <c r="E126" s="224">
        <f>SUM(E124:E125)</f>
        <v>13532979.319117554</v>
      </c>
      <c r="F126" s="224">
        <f>SUM(F124:F125)</f>
        <v>13533007.940082155</v>
      </c>
      <c r="G126" s="15"/>
      <c r="H126" s="15"/>
    </row>
    <row r="127" spans="1:8" ht="13.5" thickTop="1" x14ac:dyDescent="0.3">
      <c r="A127" s="24"/>
      <c r="B127" s="29"/>
      <c r="C127" s="29"/>
      <c r="D127" s="29"/>
      <c r="E127" s="29"/>
      <c r="F127" s="99"/>
      <c r="G127" s="15"/>
      <c r="H127" s="15"/>
    </row>
    <row r="128" spans="1:8" ht="13" x14ac:dyDescent="0.3">
      <c r="A128" s="24" t="s">
        <v>159</v>
      </c>
      <c r="B128" s="27">
        <f>B19*B17</f>
        <v>2575022.7035351298</v>
      </c>
      <c r="C128" s="27">
        <f>C19*C17</f>
        <v>2623494.0705493996</v>
      </c>
      <c r="D128" s="27">
        <f>D19*D17</f>
        <v>2623494.0705493996</v>
      </c>
      <c r="E128" s="27">
        <f>E19*E17</f>
        <v>2577594.0705493996</v>
      </c>
      <c r="F128" s="27">
        <f>F19*F17</f>
        <v>2577594.0705493996</v>
      </c>
      <c r="G128" s="15"/>
      <c r="H128" s="15"/>
    </row>
    <row r="129" spans="1:13" ht="13" x14ac:dyDescent="0.3">
      <c r="A129" s="45" t="s">
        <v>160</v>
      </c>
      <c r="B129" s="27">
        <f>B20*B17</f>
        <v>22332445.722613227</v>
      </c>
      <c r="C129" s="27">
        <f>C20*C17</f>
        <v>24754061.954147398</v>
      </c>
      <c r="D129" s="27">
        <f>D20*D17</f>
        <v>24754061.954147398</v>
      </c>
      <c r="E129" s="27">
        <f>E20*E17</f>
        <v>24753161.954147398</v>
      </c>
      <c r="F129" s="27">
        <f>F20*F17</f>
        <v>24753161.954147398</v>
      </c>
      <c r="G129" s="15"/>
      <c r="H129" s="15"/>
    </row>
    <row r="130" spans="1:13" ht="13" x14ac:dyDescent="0.3">
      <c r="A130" s="24" t="s">
        <v>161</v>
      </c>
      <c r="B130" s="27">
        <f>B61*B63</f>
        <v>6142233.0298708398</v>
      </c>
      <c r="C130" s="27">
        <f>C61*C63</f>
        <v>6101098.7369419355</v>
      </c>
      <c r="D130" s="27">
        <f>D61*D63</f>
        <v>6101098.7369419355</v>
      </c>
      <c r="E130" s="27">
        <f>E61*E63</f>
        <v>6098498.7369419355</v>
      </c>
      <c r="F130" s="27">
        <f>F61*F63</f>
        <v>6098498.7369419355</v>
      </c>
      <c r="G130" s="15"/>
      <c r="H130" s="15"/>
    </row>
    <row r="131" spans="1:13" ht="13" x14ac:dyDescent="0.3">
      <c r="A131" s="45" t="s">
        <v>162</v>
      </c>
      <c r="B131" s="27">
        <f>B61*B64</f>
        <v>0</v>
      </c>
      <c r="C131" s="27">
        <f>C61*C64</f>
        <v>0</v>
      </c>
      <c r="D131" s="27">
        <f>D61*D64</f>
        <v>0</v>
      </c>
      <c r="E131" s="27">
        <f>E61*E64</f>
        <v>0</v>
      </c>
      <c r="F131" s="27">
        <f>F61*F64</f>
        <v>0</v>
      </c>
      <c r="G131" s="15"/>
      <c r="H131" s="15"/>
    </row>
    <row r="132" spans="1:13" ht="13" x14ac:dyDescent="0.3">
      <c r="A132" s="24" t="s">
        <v>163</v>
      </c>
      <c r="B132" s="27">
        <f>B78*B80</f>
        <v>8340539.1251757853</v>
      </c>
      <c r="C132" s="27">
        <f>C78*C80</f>
        <v>8692597.1150776669</v>
      </c>
      <c r="D132" s="27">
        <f>D78*D80</f>
        <v>8692597.1150776669</v>
      </c>
      <c r="E132" s="27">
        <f>E78*E80</f>
        <v>8690047.1150776669</v>
      </c>
      <c r="F132" s="27">
        <f>F78*F80</f>
        <v>8690047.1150776669</v>
      </c>
      <c r="G132" s="15"/>
      <c r="H132" s="15"/>
    </row>
    <row r="133" spans="1:13" ht="13" x14ac:dyDescent="0.3">
      <c r="A133" s="45" t="s">
        <v>164</v>
      </c>
      <c r="B133" s="27">
        <f>B78*B81</f>
        <v>181892.92402305463</v>
      </c>
      <c r="C133" s="27">
        <f>C78*C81</f>
        <v>188796.021864268</v>
      </c>
      <c r="D133" s="27">
        <f>D78*D81</f>
        <v>188796.021864268</v>
      </c>
      <c r="E133" s="27">
        <f>E78*E81</f>
        <v>188746.021864268</v>
      </c>
      <c r="F133" s="27">
        <f>F78*F81</f>
        <v>188746.021864268</v>
      </c>
      <c r="G133" s="15"/>
      <c r="H133" s="15"/>
    </row>
    <row r="134" spans="1:13" ht="13" x14ac:dyDescent="0.3">
      <c r="A134" s="24" t="s">
        <v>165</v>
      </c>
      <c r="B134" s="27">
        <f>B88-B129-B131-B133</f>
        <v>28771306.353363719</v>
      </c>
      <c r="C134" s="27">
        <f>C88-C129-C131-C133</f>
        <v>38057142.023988336</v>
      </c>
      <c r="D134" s="27">
        <f>D88-D129-D131-D133</f>
        <v>38057142.023988336</v>
      </c>
      <c r="E134" s="27">
        <f>E88-E129-E131-E133</f>
        <v>38058092.023988336</v>
      </c>
      <c r="F134" s="27">
        <f>F88-F129-F131-F133</f>
        <v>38058092.023988336</v>
      </c>
      <c r="G134" s="15"/>
      <c r="H134" s="15"/>
    </row>
    <row r="135" spans="1:13" ht="13.5" thickBot="1" x14ac:dyDescent="0.35">
      <c r="A135" s="34" t="s">
        <v>166</v>
      </c>
      <c r="B135" s="31">
        <f>(B128+B130+B132)/B134</f>
        <v>0.592875229545755</v>
      </c>
      <c r="C135" s="31">
        <f>(C128+C130+C132)/C134</f>
        <v>0.45765890438095763</v>
      </c>
      <c r="D135" s="31">
        <f>(D128+D130+D132)/D134</f>
        <v>0.45765890438095763</v>
      </c>
      <c r="E135" s="31">
        <f>(E128+E130+E132)/E134</f>
        <v>0.45630610992329773</v>
      </c>
      <c r="F135" s="31">
        <f>(F128+F130+F132)/F134</f>
        <v>0.45630610992329773</v>
      </c>
      <c r="G135" s="15"/>
      <c r="H135" s="15"/>
    </row>
    <row r="136" spans="1:13" ht="13" thickTop="1" x14ac:dyDescent="0.25"/>
    <row r="138" spans="1:13" x14ac:dyDescent="0.25">
      <c r="A138" s="504" t="s">
        <v>593</v>
      </c>
      <c r="B138" s="505"/>
      <c r="C138" s="506"/>
      <c r="D138" s="506"/>
      <c r="E138" s="506"/>
      <c r="F138" s="507"/>
      <c r="G138" s="295"/>
      <c r="H138" s="508" t="s">
        <v>597</v>
      </c>
      <c r="I138" s="508"/>
      <c r="J138" s="509"/>
      <c r="K138" s="509"/>
      <c r="L138" s="509"/>
      <c r="M138" s="509"/>
    </row>
    <row r="139" spans="1:13" x14ac:dyDescent="0.25">
      <c r="A139" s="327" t="s">
        <v>612</v>
      </c>
      <c r="B139" s="328" t="s">
        <v>613</v>
      </c>
      <c r="C139" s="327" t="s">
        <v>614</v>
      </c>
      <c r="D139" s="327" t="s">
        <v>615</v>
      </c>
      <c r="E139" s="327" t="s">
        <v>616</v>
      </c>
      <c r="F139" s="327" t="s">
        <v>617</v>
      </c>
      <c r="G139" s="295"/>
      <c r="H139" s="329" t="s">
        <v>612</v>
      </c>
      <c r="I139" s="330" t="s">
        <v>613</v>
      </c>
      <c r="J139" s="329" t="s">
        <v>614</v>
      </c>
      <c r="K139" s="329" t="s">
        <v>615</v>
      </c>
      <c r="L139" s="329" t="s">
        <v>616</v>
      </c>
      <c r="M139" s="329" t="s">
        <v>617</v>
      </c>
    </row>
    <row r="140" spans="1:13" x14ac:dyDescent="0.25">
      <c r="A140" s="331">
        <v>0</v>
      </c>
      <c r="B140" s="332">
        <f>A140/A141</f>
        <v>0</v>
      </c>
      <c r="C140" s="331">
        <v>0</v>
      </c>
      <c r="D140" s="333">
        <f>'E-Costos'!B128+'E-Costos'!B130+'E-Costos'!B132</f>
        <v>17057794.858581755</v>
      </c>
      <c r="E140" s="333">
        <f>C140+D140</f>
        <v>17057794.858581755</v>
      </c>
      <c r="F140" s="331">
        <v>0</v>
      </c>
      <c r="G140" s="295"/>
      <c r="H140" s="331">
        <v>0</v>
      </c>
      <c r="I140" s="332">
        <f>H140/H141</f>
        <v>0</v>
      </c>
      <c r="J140" s="331">
        <v>0</v>
      </c>
      <c r="K140" s="334">
        <f>'E-Costos'!F128+'E-Costos'!F130+'E-Costos'!F132</f>
        <v>17366139.922569003</v>
      </c>
      <c r="L140" s="333">
        <f>J140+K140</f>
        <v>17366139.922569003</v>
      </c>
      <c r="M140" s="331">
        <v>0</v>
      </c>
    </row>
    <row r="141" spans="1:13" x14ac:dyDescent="0.25">
      <c r="A141" s="335">
        <f>'E-Costos'!B86</f>
        <v>34190.43</v>
      </c>
      <c r="B141" s="332">
        <f>A141/A141</f>
        <v>1</v>
      </c>
      <c r="C141" s="333">
        <f>'E-Costos'!B129+'E-Costos'!B131+'E-Costos'!B133</f>
        <v>22514338.646636281</v>
      </c>
      <c r="D141" s="333">
        <f>D140</f>
        <v>17057794.858581755</v>
      </c>
      <c r="E141" s="333">
        <f>C141+D141</f>
        <v>39572133.505218036</v>
      </c>
      <c r="F141" s="336">
        <f>'E-Costos'!B88</f>
        <v>51285645</v>
      </c>
      <c r="G141" s="295"/>
      <c r="H141" s="335">
        <f>'E-Costos'!F86</f>
        <v>42000</v>
      </c>
      <c r="I141" s="332">
        <f>H141/H141</f>
        <v>1</v>
      </c>
      <c r="J141" s="337">
        <f>'E-Costos'!F129+'E-Costos'!F131+'E-Costos'!F133</f>
        <v>24941907.976011667</v>
      </c>
      <c r="K141" s="334">
        <f>K140</f>
        <v>17366139.922569003</v>
      </c>
      <c r="L141" s="333">
        <f>J141+K141</f>
        <v>42308047.89858067</v>
      </c>
      <c r="M141" s="336">
        <f>'E-Costos'!F88</f>
        <v>63000000</v>
      </c>
    </row>
  </sheetData>
  <mergeCells count="2">
    <mergeCell ref="A138:F138"/>
    <mergeCell ref="H138:M1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0"/>
  <sheetViews>
    <sheetView topLeftCell="J1" zoomScale="85" zoomScaleNormal="85" workbookViewId="0">
      <selection activeCell="Q5" sqref="Q5"/>
    </sheetView>
  </sheetViews>
  <sheetFormatPr baseColWidth="10" defaultColWidth="11.26953125" defaultRowHeight="12.5" x14ac:dyDescent="0.25"/>
  <cols>
    <col min="1" max="8" width="3.26953125" style="15" customWidth="1"/>
    <col min="9" max="9" width="51.7265625" style="15" bestFit="1" customWidth="1"/>
    <col min="10" max="10" width="13.81640625" style="15" bestFit="1" customWidth="1"/>
    <col min="11" max="11" width="15" style="15" bestFit="1" customWidth="1"/>
    <col min="12" max="12" width="18.26953125" style="15" bestFit="1" customWidth="1"/>
    <col min="13" max="13" width="22.26953125" style="15" bestFit="1" customWidth="1"/>
    <col min="14" max="26" width="15" style="15" customWidth="1"/>
    <col min="27" max="16384" width="11.26953125" style="15"/>
  </cols>
  <sheetData>
    <row r="2" spans="9:18" ht="13" thickBot="1" x14ac:dyDescent="0.3"/>
    <row r="3" spans="9:18" ht="13" thickBot="1" x14ac:dyDescent="0.3">
      <c r="L3" s="515" t="s">
        <v>404</v>
      </c>
      <c r="M3" s="516"/>
      <c r="N3" s="516"/>
      <c r="O3" s="517"/>
    </row>
    <row r="4" spans="9:18" x14ac:dyDescent="0.25">
      <c r="I4" s="518" t="s">
        <v>405</v>
      </c>
      <c r="J4" s="519"/>
      <c r="K4" s="231">
        <v>37030.61</v>
      </c>
      <c r="L4" s="232"/>
      <c r="M4" s="233" t="s">
        <v>406</v>
      </c>
      <c r="N4" s="233" t="s">
        <v>407</v>
      </c>
      <c r="O4" s="234" t="s">
        <v>408</v>
      </c>
    </row>
    <row r="5" spans="9:18" ht="14" x14ac:dyDescent="0.3">
      <c r="I5" s="520" t="s">
        <v>409</v>
      </c>
      <c r="J5" s="521"/>
      <c r="K5" s="362">
        <v>43680</v>
      </c>
      <c r="L5" s="232" t="s">
        <v>410</v>
      </c>
      <c r="M5" s="233">
        <f>R5*39.8</f>
        <v>114.226</v>
      </c>
      <c r="N5" s="235">
        <v>0.7</v>
      </c>
      <c r="O5" s="236" t="s">
        <v>411</v>
      </c>
      <c r="P5" s="15" t="s">
        <v>412</v>
      </c>
      <c r="Q5" s="358">
        <v>4100</v>
      </c>
      <c r="R5" s="15">
        <f>Q5*N5/1000</f>
        <v>2.87</v>
      </c>
    </row>
    <row r="6" spans="9:18" ht="13" thickBot="1" x14ac:dyDescent="0.3">
      <c r="I6" s="522" t="s">
        <v>413</v>
      </c>
      <c r="J6" s="523"/>
      <c r="K6" s="363">
        <f>M8</f>
        <v>357.00599999999997</v>
      </c>
      <c r="L6" s="232" t="s">
        <v>414</v>
      </c>
      <c r="M6" s="233">
        <f>R6*39.8</f>
        <v>19.899999999999999</v>
      </c>
      <c r="N6" s="235">
        <v>2</v>
      </c>
      <c r="O6" s="236" t="s">
        <v>415</v>
      </c>
      <c r="P6" s="15" t="s">
        <v>416</v>
      </c>
      <c r="Q6" s="341">
        <v>0.25</v>
      </c>
      <c r="R6" s="15">
        <f>Q6*N6</f>
        <v>0.5</v>
      </c>
    </row>
    <row r="7" spans="9:18" ht="13" thickBot="1" x14ac:dyDescent="0.3">
      <c r="L7" s="237" t="s">
        <v>417</v>
      </c>
      <c r="M7" s="238">
        <f>R7*39.8</f>
        <v>222.87999999999997</v>
      </c>
      <c r="N7" s="238">
        <v>2</v>
      </c>
      <c r="O7" s="239" t="s">
        <v>415</v>
      </c>
      <c r="P7" s="15" t="s">
        <v>416</v>
      </c>
      <c r="Q7" s="341">
        <v>2.8</v>
      </c>
      <c r="R7" s="15">
        <f>Q7*N7</f>
        <v>5.6</v>
      </c>
    </row>
    <row r="8" spans="9:18" ht="13" thickBot="1" x14ac:dyDescent="0.3">
      <c r="M8" s="240">
        <f>SUM(M5:M7)</f>
        <v>357.00599999999997</v>
      </c>
    </row>
    <row r="9" spans="9:18" x14ac:dyDescent="0.25">
      <c r="I9" s="526" t="s">
        <v>623</v>
      </c>
      <c r="J9" s="527"/>
    </row>
    <row r="10" spans="9:18" s="295" customFormat="1" ht="13" thickBot="1" x14ac:dyDescent="0.3">
      <c r="I10" s="528"/>
      <c r="J10" s="529"/>
    </row>
    <row r="11" spans="9:18" ht="13" thickBot="1" x14ac:dyDescent="0.3">
      <c r="K11" s="241" t="s">
        <v>418</v>
      </c>
      <c r="L11" s="242">
        <v>0.5</v>
      </c>
    </row>
    <row r="12" spans="9:18" ht="13" thickBot="1" x14ac:dyDescent="0.3">
      <c r="P12" s="15" t="s">
        <v>565</v>
      </c>
    </row>
    <row r="13" spans="9:18" x14ac:dyDescent="0.25">
      <c r="I13" s="524"/>
      <c r="J13" s="525"/>
      <c r="K13" s="243" t="s">
        <v>419</v>
      </c>
      <c r="L13" s="243" t="s">
        <v>420</v>
      </c>
      <c r="M13" s="243" t="s">
        <v>421</v>
      </c>
      <c r="N13" s="244" t="s">
        <v>422</v>
      </c>
      <c r="O13" s="245"/>
      <c r="P13" s="299" t="s">
        <v>566</v>
      </c>
      <c r="Q13" s="298">
        <v>0.05</v>
      </c>
    </row>
    <row r="14" spans="9:18" ht="14" x14ac:dyDescent="0.25">
      <c r="I14" s="513" t="s">
        <v>423</v>
      </c>
      <c r="J14" s="514"/>
      <c r="K14" s="246">
        <v>80000</v>
      </c>
      <c r="L14" s="246">
        <f>+K14*(1+$L$11)*12</f>
        <v>1440000</v>
      </c>
      <c r="M14" s="247">
        <v>1</v>
      </c>
      <c r="N14" s="248">
        <f t="shared" ref="N14:N27" si="0">+M14*L14</f>
        <v>1440000</v>
      </c>
      <c r="O14" s="249"/>
    </row>
    <row r="15" spans="9:18" ht="14" x14ac:dyDescent="0.25">
      <c r="I15" s="513" t="s">
        <v>424</v>
      </c>
      <c r="J15" s="514"/>
      <c r="K15" s="246">
        <v>60000</v>
      </c>
      <c r="L15" s="246">
        <f t="shared" ref="L15:L28" si="1">+K15*(1+$L$11)*12</f>
        <v>1080000</v>
      </c>
      <c r="M15" s="247">
        <v>1</v>
      </c>
      <c r="N15" s="248">
        <f t="shared" si="0"/>
        <v>1080000</v>
      </c>
      <c r="O15" s="249"/>
    </row>
    <row r="16" spans="9:18" ht="14" x14ac:dyDescent="0.25">
      <c r="I16" s="513" t="s">
        <v>425</v>
      </c>
      <c r="J16" s="514"/>
      <c r="K16" s="246">
        <v>60000</v>
      </c>
      <c r="L16" s="246">
        <f t="shared" si="1"/>
        <v>1080000</v>
      </c>
      <c r="M16" s="247">
        <v>1</v>
      </c>
      <c r="N16" s="248">
        <f t="shared" si="0"/>
        <v>1080000</v>
      </c>
      <c r="O16" s="249"/>
    </row>
    <row r="17" spans="9:18" ht="14" x14ac:dyDescent="0.25">
      <c r="I17" s="513" t="s">
        <v>426</v>
      </c>
      <c r="J17" s="514"/>
      <c r="K17" s="246">
        <v>60000</v>
      </c>
      <c r="L17" s="246">
        <f t="shared" si="1"/>
        <v>1080000</v>
      </c>
      <c r="M17" s="247">
        <v>1</v>
      </c>
      <c r="N17" s="248">
        <f t="shared" si="0"/>
        <v>1080000</v>
      </c>
      <c r="O17" s="249"/>
      <c r="R17" s="15" t="s">
        <v>621</v>
      </c>
    </row>
    <row r="18" spans="9:18" ht="14" x14ac:dyDescent="0.25">
      <c r="I18" s="513" t="s">
        <v>427</v>
      </c>
      <c r="J18" s="514"/>
      <c r="K18" s="246">
        <v>60000</v>
      </c>
      <c r="L18" s="246">
        <f t="shared" si="1"/>
        <v>1080000</v>
      </c>
      <c r="M18" s="247">
        <v>1</v>
      </c>
      <c r="N18" s="248">
        <f t="shared" si="0"/>
        <v>1080000</v>
      </c>
      <c r="O18" s="249"/>
    </row>
    <row r="19" spans="9:18" ht="14" x14ac:dyDescent="0.25">
      <c r="I19" s="513" t="s">
        <v>428</v>
      </c>
      <c r="J19" s="514"/>
      <c r="K19" s="246">
        <v>60000</v>
      </c>
      <c r="L19" s="246">
        <f t="shared" si="1"/>
        <v>1080000</v>
      </c>
      <c r="M19" s="247">
        <v>1</v>
      </c>
      <c r="N19" s="248">
        <f t="shared" si="0"/>
        <v>1080000</v>
      </c>
      <c r="O19" s="249"/>
    </row>
    <row r="20" spans="9:18" ht="14" x14ac:dyDescent="0.25">
      <c r="I20" s="513" t="s">
        <v>429</v>
      </c>
      <c r="J20" s="514"/>
      <c r="K20" s="246">
        <v>45000</v>
      </c>
      <c r="L20" s="246">
        <f t="shared" si="1"/>
        <v>810000</v>
      </c>
      <c r="M20" s="247">
        <v>1</v>
      </c>
      <c r="N20" s="248">
        <f t="shared" si="0"/>
        <v>810000</v>
      </c>
      <c r="O20" s="249"/>
    </row>
    <row r="21" spans="9:18" ht="14" x14ac:dyDescent="0.25">
      <c r="I21" s="513" t="s">
        <v>430</v>
      </c>
      <c r="J21" s="514"/>
      <c r="K21" s="246">
        <v>35000</v>
      </c>
      <c r="L21" s="246">
        <f t="shared" si="1"/>
        <v>630000</v>
      </c>
      <c r="M21" s="247">
        <v>1</v>
      </c>
      <c r="N21" s="248">
        <f t="shared" si="0"/>
        <v>630000</v>
      </c>
      <c r="O21" s="249"/>
    </row>
    <row r="22" spans="9:18" ht="14" x14ac:dyDescent="0.25">
      <c r="I22" s="513" t="s">
        <v>431</v>
      </c>
      <c r="J22" s="514"/>
      <c r="K22" s="246">
        <v>35000</v>
      </c>
      <c r="L22" s="246">
        <f t="shared" si="1"/>
        <v>630000</v>
      </c>
      <c r="M22" s="247">
        <v>1</v>
      </c>
      <c r="N22" s="248">
        <f t="shared" si="0"/>
        <v>630000</v>
      </c>
      <c r="O22" s="249"/>
    </row>
    <row r="23" spans="9:18" ht="14" x14ac:dyDescent="0.25">
      <c r="I23" s="513" t="s">
        <v>432</v>
      </c>
      <c r="J23" s="514"/>
      <c r="K23" s="246">
        <v>35000</v>
      </c>
      <c r="L23" s="246">
        <f t="shared" si="1"/>
        <v>630000</v>
      </c>
      <c r="M23" s="247">
        <v>1</v>
      </c>
      <c r="N23" s="248">
        <f t="shared" si="0"/>
        <v>630000</v>
      </c>
      <c r="O23" s="249"/>
    </row>
    <row r="24" spans="9:18" ht="14" x14ac:dyDescent="0.25">
      <c r="I24" s="513" t="s">
        <v>433</v>
      </c>
      <c r="J24" s="514"/>
      <c r="K24" s="246">
        <v>30000</v>
      </c>
      <c r="L24" s="246">
        <f t="shared" si="1"/>
        <v>540000</v>
      </c>
      <c r="M24" s="247">
        <v>1</v>
      </c>
      <c r="N24" s="248">
        <f t="shared" si="0"/>
        <v>540000</v>
      </c>
      <c r="O24" s="249"/>
    </row>
    <row r="25" spans="9:18" ht="14" x14ac:dyDescent="0.25">
      <c r="I25" s="513" t="s">
        <v>434</v>
      </c>
      <c r="J25" s="514"/>
      <c r="K25" s="246">
        <v>30000</v>
      </c>
      <c r="L25" s="246">
        <f t="shared" si="1"/>
        <v>540000</v>
      </c>
      <c r="M25" s="247">
        <v>1</v>
      </c>
      <c r="N25" s="248">
        <f t="shared" si="0"/>
        <v>540000</v>
      </c>
      <c r="O25" s="249"/>
    </row>
    <row r="26" spans="9:18" ht="14" x14ac:dyDescent="0.25">
      <c r="I26" s="513" t="s">
        <v>435</v>
      </c>
      <c r="J26" s="514"/>
      <c r="K26" s="246">
        <v>30000</v>
      </c>
      <c r="L26" s="246">
        <f t="shared" si="1"/>
        <v>540000</v>
      </c>
      <c r="M26" s="247">
        <v>1</v>
      </c>
      <c r="N26" s="248">
        <f t="shared" si="0"/>
        <v>540000</v>
      </c>
      <c r="O26" s="249"/>
    </row>
    <row r="27" spans="9:18" ht="14" x14ac:dyDescent="0.25">
      <c r="I27" s="511" t="s">
        <v>436</v>
      </c>
      <c r="J27" s="512"/>
      <c r="K27" s="246">
        <v>7000</v>
      </c>
      <c r="L27" s="246">
        <f t="shared" si="1"/>
        <v>126000</v>
      </c>
      <c r="M27" s="247">
        <v>6</v>
      </c>
      <c r="N27" s="248">
        <f t="shared" si="0"/>
        <v>756000</v>
      </c>
      <c r="O27" s="249" t="s">
        <v>560</v>
      </c>
    </row>
    <row r="28" spans="9:18" ht="14" x14ac:dyDescent="0.25">
      <c r="I28" s="513" t="s">
        <v>437</v>
      </c>
      <c r="J28" s="514"/>
      <c r="K28" s="246">
        <v>15000</v>
      </c>
      <c r="L28" s="246">
        <f t="shared" si="1"/>
        <v>270000</v>
      </c>
      <c r="M28" s="247">
        <v>20</v>
      </c>
      <c r="N28" s="248">
        <f>+M28*L28</f>
        <v>5400000</v>
      </c>
      <c r="O28" s="249">
        <f>SUM(N20:N23)</f>
        <v>2700000</v>
      </c>
    </row>
    <row r="29" spans="9:18" ht="14.5" thickBot="1" x14ac:dyDescent="0.3">
      <c r="I29" s="513"/>
      <c r="J29" s="514"/>
      <c r="K29" s="250"/>
      <c r="L29" s="250">
        <f>+SUM(L14:L28)</f>
        <v>11556000</v>
      </c>
      <c r="M29" s="251">
        <f>+SUM(M14:M28)</f>
        <v>39</v>
      </c>
      <c r="N29" s="252">
        <f>+SUM(N14:N28)</f>
        <v>17316000</v>
      </c>
      <c r="O29" s="253"/>
    </row>
    <row r="31" spans="9:18" x14ac:dyDescent="0.25">
      <c r="I31" s="15" t="s">
        <v>438</v>
      </c>
      <c r="J31" s="15">
        <v>4</v>
      </c>
      <c r="K31" s="254" t="s">
        <v>439</v>
      </c>
    </row>
    <row r="33" spans="9:19" x14ac:dyDescent="0.25">
      <c r="I33" s="15" t="s">
        <v>440</v>
      </c>
      <c r="L33" s="295">
        <v>7910.61</v>
      </c>
    </row>
    <row r="34" spans="9:19" x14ac:dyDescent="0.25">
      <c r="I34" s="15" t="s">
        <v>441</v>
      </c>
      <c r="L34" s="295">
        <v>633.04</v>
      </c>
    </row>
    <row r="37" spans="9:19" x14ac:dyDescent="0.25">
      <c r="I37" s="15" t="s">
        <v>442</v>
      </c>
      <c r="K37" s="229">
        <v>273.02999999999997</v>
      </c>
      <c r="L37" s="359" t="s">
        <v>619</v>
      </c>
      <c r="M37" s="359"/>
    </row>
    <row r="38" spans="9:19" x14ac:dyDescent="0.25">
      <c r="I38" s="15" t="s">
        <v>443</v>
      </c>
      <c r="J38" s="295"/>
      <c r="K38" s="295">
        <v>88.789000000000001</v>
      </c>
      <c r="L38" s="295"/>
      <c r="M38" s="295"/>
      <c r="N38" s="295"/>
      <c r="O38" s="295"/>
      <c r="P38" s="295"/>
      <c r="Q38" s="295"/>
      <c r="R38" s="295"/>
      <c r="S38" s="295"/>
    </row>
    <row r="39" spans="9:19" x14ac:dyDescent="0.25">
      <c r="I39" s="295" t="s">
        <v>629</v>
      </c>
      <c r="J39" s="295"/>
      <c r="K39" s="301">
        <f>'E-Costos'!B13*$J$51/$J$49</f>
        <v>393.69819676775398</v>
      </c>
      <c r="L39" s="301">
        <f>$J$51*'E-Costos'!C13/$K$43</f>
        <v>351.33228220093406</v>
      </c>
      <c r="M39" s="301">
        <f>$J$51*'E-Costos'!D13/$K$43</f>
        <v>351.33228220093406</v>
      </c>
      <c r="N39" s="301">
        <f>$J$51*'E-Costos'!E13/$K$43</f>
        <v>351.33228220093406</v>
      </c>
      <c r="O39" s="301">
        <f>$J$51*'E-Costos'!F13/$K$43</f>
        <v>351.33228220093406</v>
      </c>
      <c r="P39" s="295"/>
      <c r="Q39" s="295"/>
      <c r="R39" s="295"/>
      <c r="S39" s="295"/>
    </row>
    <row r="40" spans="9:19" x14ac:dyDescent="0.25">
      <c r="I40" s="295" t="s">
        <v>630</v>
      </c>
      <c r="J40" s="295"/>
      <c r="K40" s="301">
        <f>'E-Costos'!$B$13*$J$52/$J$49</f>
        <v>604.17971091232414</v>
      </c>
      <c r="L40" s="301"/>
      <c r="M40" s="301"/>
      <c r="N40" s="295"/>
      <c r="O40" s="295"/>
      <c r="P40" s="295"/>
      <c r="Q40" s="295"/>
      <c r="R40" s="295"/>
      <c r="S40" s="295"/>
    </row>
    <row r="41" spans="9:19" x14ac:dyDescent="0.25">
      <c r="I41"/>
      <c r="J41" s="331" t="s">
        <v>238</v>
      </c>
      <c r="K41" s="331" t="s">
        <v>444</v>
      </c>
      <c r="L41" s="331" t="s">
        <v>445</v>
      </c>
      <c r="M41" s="331" t="s">
        <v>478</v>
      </c>
      <c r="N41" s="295"/>
      <c r="O41" s="295"/>
      <c r="P41" s="295" t="s">
        <v>479</v>
      </c>
      <c r="Q41" s="295"/>
      <c r="R41" s="295"/>
      <c r="S41" s="341">
        <v>36397.565217391304</v>
      </c>
    </row>
    <row r="42" spans="9:19" x14ac:dyDescent="0.25">
      <c r="I42"/>
      <c r="J42" s="364">
        <v>1</v>
      </c>
      <c r="K42" s="367">
        <f>W58</f>
        <v>37030.61</v>
      </c>
      <c r="L42" s="367">
        <f>+W71</f>
        <v>34330.43</v>
      </c>
      <c r="M42" s="372">
        <f>K42/L42</f>
        <v>1.0786526705316537</v>
      </c>
      <c r="N42" s="295"/>
      <c r="O42" s="295"/>
      <c r="P42" s="295"/>
      <c r="Q42" s="295"/>
      <c r="R42" s="295"/>
      <c r="S42" s="295"/>
    </row>
    <row r="43" spans="9:19" x14ac:dyDescent="0.25">
      <c r="I43"/>
      <c r="J43" s="365" t="s">
        <v>446</v>
      </c>
      <c r="K43" s="367">
        <f>W63</f>
        <v>43680</v>
      </c>
      <c r="L43" s="367">
        <f>+W65</f>
        <v>42000</v>
      </c>
      <c r="M43" s="377">
        <f>K43/L43</f>
        <v>1.04</v>
      </c>
      <c r="N43" s="295">
        <f>K43/L43</f>
        <v>1.04</v>
      </c>
      <c r="O43" s="295"/>
      <c r="P43" s="295"/>
      <c r="Q43" s="295"/>
      <c r="R43" s="295"/>
      <c r="S43" s="295"/>
    </row>
    <row r="44" spans="9:19" x14ac:dyDescent="0.25">
      <c r="I44"/>
      <c r="J44" s="295"/>
      <c r="K44" s="293">
        <f>'E-Costos'!B12</f>
        <v>528700</v>
      </c>
      <c r="L44" s="295"/>
      <c r="M44" s="301"/>
      <c r="N44" s="295"/>
      <c r="O44" s="295"/>
      <c r="P44" s="295"/>
      <c r="Q44" s="295"/>
      <c r="R44" s="295"/>
      <c r="S44" s="295"/>
    </row>
    <row r="45" spans="9:19" x14ac:dyDescent="0.25">
      <c r="I45"/>
      <c r="J45" s="295"/>
      <c r="K45" s="295"/>
      <c r="L45" s="295"/>
      <c r="M45" s="295"/>
      <c r="N45" s="295"/>
      <c r="O45" s="295"/>
      <c r="P45" s="295"/>
      <c r="Q45" s="295"/>
      <c r="R45" s="295"/>
      <c r="S45" s="295"/>
    </row>
    <row r="46" spans="9:19" x14ac:dyDescent="0.25">
      <c r="I46"/>
      <c r="J46" s="295"/>
      <c r="K46" s="295"/>
      <c r="L46" s="295"/>
      <c r="M46" s="295"/>
      <c r="N46" s="295"/>
      <c r="O46" s="295"/>
      <c r="P46" s="295"/>
      <c r="Q46" s="295"/>
      <c r="R46" s="295"/>
      <c r="S46" s="295"/>
    </row>
    <row r="47" spans="9:19" ht="13" x14ac:dyDescent="0.3">
      <c r="I47" s="1" t="s">
        <v>54</v>
      </c>
      <c r="J47" s="295"/>
      <c r="K47" s="295"/>
      <c r="L47" s="295"/>
      <c r="M47" s="295"/>
      <c r="N47" s="295"/>
      <c r="O47" s="341" t="s">
        <v>625</v>
      </c>
      <c r="P47" s="341"/>
      <c r="Q47" s="341"/>
      <c r="R47" s="295"/>
      <c r="S47" s="295"/>
    </row>
    <row r="48" spans="9:19" x14ac:dyDescent="0.25">
      <c r="I48"/>
      <c r="J48" s="295"/>
      <c r="K48" s="530" t="s">
        <v>570</v>
      </c>
      <c r="L48" s="530"/>
      <c r="M48" s="295"/>
      <c r="N48" s="295"/>
      <c r="O48" s="359" t="s">
        <v>626</v>
      </c>
      <c r="P48" s="359"/>
      <c r="Q48" s="295"/>
      <c r="R48" s="295"/>
      <c r="S48" s="295"/>
    </row>
    <row r="49" spans="9:23" x14ac:dyDescent="0.25">
      <c r="I49" t="s">
        <v>447</v>
      </c>
      <c r="J49" s="295">
        <f>K42</f>
        <v>37030.61</v>
      </c>
      <c r="K49" s="293">
        <f>'E-Costos'!B12</f>
        <v>528700</v>
      </c>
      <c r="L49" s="293"/>
      <c r="M49" s="295"/>
      <c r="N49" s="295"/>
      <c r="O49" s="373" t="s">
        <v>627</v>
      </c>
      <c r="P49" s="373"/>
      <c r="Q49" s="295"/>
      <c r="R49" s="295" t="s">
        <v>636</v>
      </c>
      <c r="S49" s="295"/>
    </row>
    <row r="50" spans="9:23" x14ac:dyDescent="0.25">
      <c r="I50" t="s">
        <v>448</v>
      </c>
      <c r="J50" s="366">
        <f>J49-J51-J52</f>
        <v>35426.089999999997</v>
      </c>
      <c r="K50" s="301">
        <f>J50*K49/J49</f>
        <v>505791.66216813604</v>
      </c>
      <c r="L50" s="295"/>
      <c r="M50" s="295"/>
      <c r="N50" s="295"/>
      <c r="O50" s="374" t="s">
        <v>628</v>
      </c>
      <c r="P50" s="295"/>
      <c r="Q50" s="295"/>
      <c r="R50" s="295"/>
      <c r="S50" s="295"/>
    </row>
    <row r="51" spans="9:23" x14ac:dyDescent="0.25">
      <c r="I51" t="s">
        <v>449</v>
      </c>
      <c r="J51" s="341">
        <f>+W56</f>
        <v>633.04</v>
      </c>
      <c r="K51" s="301">
        <f>K49*J51/J49</f>
        <v>9038.1510863580152</v>
      </c>
      <c r="L51" s="295"/>
      <c r="M51" s="295"/>
      <c r="N51" s="295"/>
      <c r="O51" s="295"/>
      <c r="P51" s="295"/>
      <c r="Q51" s="295"/>
      <c r="R51" s="295"/>
      <c r="S51" s="295"/>
    </row>
    <row r="52" spans="9:23" x14ac:dyDescent="0.25">
      <c r="I52" t="s">
        <v>450</v>
      </c>
      <c r="J52" s="341">
        <f>+Y77</f>
        <v>971.48</v>
      </c>
      <c r="K52" s="301">
        <f>K49*J52/J49</f>
        <v>13870.186745505947</v>
      </c>
      <c r="L52" s="295"/>
      <c r="M52" s="295"/>
      <c r="N52" s="295"/>
      <c r="O52" s="295"/>
      <c r="P52" s="295"/>
      <c r="Q52" s="295"/>
      <c r="R52" s="295"/>
      <c r="S52" s="295"/>
      <c r="W52" s="15" t="s">
        <v>54</v>
      </c>
    </row>
    <row r="53" spans="9:23" x14ac:dyDescent="0.25">
      <c r="I53"/>
      <c r="J53" s="366">
        <f>SUM(J50:J52)</f>
        <v>37030.61</v>
      </c>
      <c r="K53" s="301">
        <f>SUM(K50:K52)</f>
        <v>528700</v>
      </c>
      <c r="L53" s="295"/>
      <c r="M53" s="295"/>
      <c r="N53" s="295"/>
      <c r="O53" s="295"/>
      <c r="P53" s="295"/>
      <c r="Q53" s="295"/>
      <c r="R53" s="295"/>
      <c r="S53" s="295"/>
    </row>
    <row r="54" spans="9:23" x14ac:dyDescent="0.25">
      <c r="I54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W54" s="15">
        <f>36397.57</f>
        <v>36397.57</v>
      </c>
    </row>
    <row r="55" spans="9:23" x14ac:dyDescent="0.25">
      <c r="I55" t="s">
        <v>451</v>
      </c>
      <c r="J55" s="295">
        <f>J51*K6</f>
        <v>225999.07823999997</v>
      </c>
      <c r="K55" s="295"/>
      <c r="L55" s="295"/>
      <c r="M55" s="295"/>
      <c r="N55" s="295"/>
      <c r="O55" s="295"/>
      <c r="P55" s="295"/>
      <c r="Q55" s="295"/>
      <c r="R55" s="295"/>
      <c r="S55" s="295"/>
    </row>
    <row r="56" spans="9:23" x14ac:dyDescent="0.25">
      <c r="I56" t="s">
        <v>452</v>
      </c>
      <c r="J56" s="295">
        <f>J52*K6</f>
        <v>346824.18887999997</v>
      </c>
      <c r="K56" s="295" t="s">
        <v>453</v>
      </c>
      <c r="L56" s="295"/>
      <c r="M56" s="295"/>
      <c r="W56" s="15">
        <v>633.04</v>
      </c>
    </row>
    <row r="57" spans="9:23" x14ac:dyDescent="0.25">
      <c r="K57"/>
      <c r="L57"/>
      <c r="N57" s="295"/>
      <c r="O57" s="295"/>
      <c r="P57" s="295"/>
      <c r="Q57" s="295"/>
    </row>
    <row r="58" spans="9:23" x14ac:dyDescent="0.25">
      <c r="I58" s="295" t="s">
        <v>572</v>
      </c>
      <c r="J58" s="295" t="s">
        <v>573</v>
      </c>
      <c r="K58" s="295" t="s">
        <v>574</v>
      </c>
      <c r="L58" s="294"/>
      <c r="M58" s="295"/>
      <c r="N58" s="295"/>
      <c r="O58" s="295"/>
      <c r="P58" s="295"/>
      <c r="Q58" s="295"/>
      <c r="W58" s="15">
        <v>37030.61</v>
      </c>
    </row>
    <row r="59" spans="9:23" x14ac:dyDescent="0.25">
      <c r="I59" s="314" t="s">
        <v>575</v>
      </c>
      <c r="J59" s="360">
        <f>'E-Inv AF y Am'!$D$11*1%*5%*1.5%</f>
        <v>35.532000000000004</v>
      </c>
      <c r="K59" s="360">
        <f>'E-Inv AF y Am'!$D$11*1%*5%*1.5%</f>
        <v>35.532000000000004</v>
      </c>
      <c r="L59" s="294"/>
      <c r="M59" s="373" t="s">
        <v>635</v>
      </c>
      <c r="N59" s="295"/>
      <c r="O59" s="295"/>
      <c r="P59" s="295"/>
      <c r="Q59" s="295"/>
    </row>
    <row r="60" spans="9:23" x14ac:dyDescent="0.25">
      <c r="I60" s="314" t="s">
        <v>576</v>
      </c>
      <c r="J60" s="359">
        <f>L42*15</f>
        <v>514956.45</v>
      </c>
      <c r="K60" s="359">
        <f>L43*15</f>
        <v>630000</v>
      </c>
      <c r="L60" s="294"/>
      <c r="M60" s="295"/>
      <c r="N60" s="295"/>
      <c r="O60" s="295"/>
      <c r="P60" s="295"/>
      <c r="Q60" s="295"/>
    </row>
    <row r="61" spans="9:23" x14ac:dyDescent="0.25">
      <c r="I61" s="314" t="s">
        <v>577</v>
      </c>
      <c r="J61" s="315">
        <f>'E-Costos'!B52*3%</f>
        <v>124200</v>
      </c>
      <c r="K61" s="315">
        <f>'E-Costos'!C52*3%</f>
        <v>124200</v>
      </c>
      <c r="L61" s="294"/>
      <c r="M61" s="295"/>
      <c r="N61" s="295"/>
      <c r="O61" s="295"/>
      <c r="P61" s="295"/>
      <c r="Q61" s="295"/>
      <c r="W61" s="15" t="s">
        <v>567</v>
      </c>
    </row>
    <row r="62" spans="9:23" x14ac:dyDescent="0.25">
      <c r="I62" s="314"/>
      <c r="J62" s="295"/>
      <c r="K62" s="295"/>
      <c r="L62" s="294"/>
      <c r="M62" s="295"/>
      <c r="N62" s="295"/>
      <c r="O62" s="295"/>
      <c r="P62" s="295"/>
      <c r="Q62" s="295"/>
    </row>
    <row r="63" spans="9:23" x14ac:dyDescent="0.25">
      <c r="I63" s="316" t="s">
        <v>578</v>
      </c>
      <c r="J63" s="295" t="s">
        <v>579</v>
      </c>
      <c r="K63" s="295"/>
      <c r="L63" s="294"/>
      <c r="M63" s="295"/>
      <c r="N63" s="359"/>
      <c r="O63" s="295"/>
      <c r="P63" s="295"/>
      <c r="Q63" s="295"/>
      <c r="W63" s="15">
        <v>43680</v>
      </c>
    </row>
    <row r="64" spans="9:23" x14ac:dyDescent="0.25">
      <c r="I64" s="316" t="s">
        <v>580</v>
      </c>
      <c r="J64" s="295" t="s">
        <v>581</v>
      </c>
      <c r="K64" s="359" t="s">
        <v>624</v>
      </c>
      <c r="L64" s="359"/>
      <c r="M64" s="359"/>
      <c r="N64" s="295"/>
      <c r="O64" s="295"/>
      <c r="P64" s="295"/>
      <c r="Q64" s="295"/>
    </row>
    <row r="65" spans="9:25" x14ac:dyDescent="0.25">
      <c r="I65" s="295"/>
      <c r="J65" s="295"/>
      <c r="K65" s="295"/>
      <c r="L65" s="294"/>
      <c r="M65" s="295"/>
      <c r="N65" s="295"/>
      <c r="O65" s="295"/>
      <c r="P65" s="295"/>
      <c r="Q65" s="295"/>
      <c r="W65" s="15">
        <v>42000</v>
      </c>
    </row>
    <row r="66" spans="9:25" x14ac:dyDescent="0.25">
      <c r="I66" s="295" t="s">
        <v>582</v>
      </c>
      <c r="J66" s="295"/>
      <c r="K66" s="295"/>
      <c r="L66" s="294"/>
      <c r="M66" s="295"/>
      <c r="N66" s="295"/>
      <c r="O66" s="295"/>
      <c r="P66" s="295"/>
      <c r="Q66" s="295"/>
    </row>
    <row r="67" spans="9:25" x14ac:dyDescent="0.25">
      <c r="I67" s="295"/>
      <c r="J67" s="295"/>
      <c r="K67" s="295"/>
      <c r="L67" s="294"/>
      <c r="M67" s="295"/>
      <c r="N67" s="295"/>
      <c r="O67" s="295"/>
      <c r="P67" s="295"/>
      <c r="Q67" s="295"/>
    </row>
    <row r="68" spans="9:25" x14ac:dyDescent="0.25">
      <c r="I68" s="295" t="s">
        <v>572</v>
      </c>
      <c r="J68" s="295" t="s">
        <v>573</v>
      </c>
      <c r="K68" s="295" t="s">
        <v>574</v>
      </c>
      <c r="L68" s="294"/>
      <c r="M68" s="295"/>
      <c r="N68" s="295"/>
      <c r="O68" s="295"/>
      <c r="P68" s="295"/>
      <c r="Q68" s="295"/>
    </row>
    <row r="69" spans="9:25" x14ac:dyDescent="0.25">
      <c r="I69" s="314" t="s">
        <v>575</v>
      </c>
      <c r="J69" s="360">
        <f>'E-Inv AF y Am'!$D$11*1%*5%*1.5%</f>
        <v>35.532000000000004</v>
      </c>
      <c r="K69" s="360">
        <f>'E-Inv AF y Am'!$D$11*1%*5%*1.5%</f>
        <v>35.532000000000004</v>
      </c>
      <c r="L69" s="294"/>
      <c r="M69" s="373" t="s">
        <v>635</v>
      </c>
      <c r="N69" s="295"/>
      <c r="O69" s="295"/>
      <c r="P69" s="295"/>
      <c r="Q69" s="295"/>
    </row>
    <row r="70" spans="9:25" x14ac:dyDescent="0.25">
      <c r="I70" s="314" t="s">
        <v>576</v>
      </c>
      <c r="J70" s="359">
        <f>L42*15</f>
        <v>514956.45</v>
      </c>
      <c r="K70" s="359">
        <f>L43*15</f>
        <v>630000</v>
      </c>
      <c r="L70" s="294"/>
      <c r="M70" s="295"/>
      <c r="N70" s="295"/>
      <c r="O70" s="295"/>
      <c r="P70" s="295"/>
      <c r="Q70" s="295"/>
    </row>
    <row r="71" spans="9:25" x14ac:dyDescent="0.25">
      <c r="I71" s="314" t="s">
        <v>577</v>
      </c>
      <c r="J71" s="315">
        <f>'E-Costos'!B69*3%</f>
        <v>152280</v>
      </c>
      <c r="K71" s="315">
        <f>'E-Costos'!C69*3%</f>
        <v>152280</v>
      </c>
      <c r="L71" s="294"/>
      <c r="M71" s="295"/>
      <c r="N71" s="295"/>
      <c r="O71" s="295"/>
      <c r="P71" s="295"/>
      <c r="Q71" s="295"/>
      <c r="W71" s="15">
        <v>34330.43</v>
      </c>
    </row>
    <row r="72" spans="9:25" x14ac:dyDescent="0.25">
      <c r="I72" s="314" t="s">
        <v>583</v>
      </c>
      <c r="J72" s="359">
        <f>L42*30</f>
        <v>1029912.9</v>
      </c>
      <c r="K72" s="359">
        <f>L43*30</f>
        <v>1260000</v>
      </c>
      <c r="L72" s="294"/>
      <c r="M72" s="295"/>
      <c r="N72" s="295"/>
      <c r="O72" s="295"/>
      <c r="P72" s="295"/>
      <c r="Q72" s="295"/>
    </row>
    <row r="73" spans="9:25" x14ac:dyDescent="0.25">
      <c r="I73" s="295"/>
      <c r="J73" s="295"/>
      <c r="K73" s="295"/>
      <c r="L73" s="294"/>
      <c r="M73" s="295"/>
      <c r="N73" s="295"/>
      <c r="O73" s="295"/>
      <c r="P73" s="295"/>
      <c r="Q73" s="295"/>
    </row>
    <row r="74" spans="9:25" x14ac:dyDescent="0.25">
      <c r="I74" s="295"/>
      <c r="J74" s="295"/>
      <c r="K74" s="295"/>
      <c r="L74" s="294"/>
      <c r="M74" s="295"/>
      <c r="N74" s="295"/>
      <c r="O74" s="295"/>
      <c r="P74" s="295"/>
      <c r="Q74" s="295"/>
    </row>
    <row r="75" spans="9:25" x14ac:dyDescent="0.25">
      <c r="I75" s="316" t="s">
        <v>584</v>
      </c>
      <c r="J75" s="295" t="s">
        <v>585</v>
      </c>
      <c r="K75" s="295"/>
      <c r="L75" s="294"/>
      <c r="M75" s="295"/>
      <c r="N75" s="295"/>
      <c r="O75" s="295"/>
      <c r="P75" s="295"/>
      <c r="Q75" s="295"/>
    </row>
    <row r="76" spans="9:25" x14ac:dyDescent="0.25">
      <c r="I76" s="295"/>
      <c r="J76" s="295"/>
      <c r="K76" s="295"/>
      <c r="L76" s="294"/>
      <c r="M76" s="295"/>
      <c r="N76" s="295"/>
      <c r="O76" s="295"/>
      <c r="P76" s="295"/>
      <c r="Q76" s="295"/>
    </row>
    <row r="77" spans="9:25" x14ac:dyDescent="0.25">
      <c r="I77" s="295"/>
      <c r="J77" s="295"/>
      <c r="K77" s="295"/>
      <c r="L77" s="294"/>
      <c r="M77" s="295"/>
      <c r="N77" s="295"/>
      <c r="O77" s="295"/>
      <c r="P77" s="295"/>
      <c r="Q77" s="295"/>
      <c r="Y77" s="15">
        <f>971.48</f>
        <v>971.48</v>
      </c>
    </row>
    <row r="78" spans="9:25" x14ac:dyDescent="0.25">
      <c r="I78" s="314" t="s">
        <v>586</v>
      </c>
      <c r="J78" s="295"/>
      <c r="K78" s="295"/>
      <c r="L78" s="294"/>
      <c r="M78" s="295"/>
      <c r="N78" s="295"/>
      <c r="O78" s="295"/>
      <c r="P78" s="295"/>
      <c r="Q78" s="295"/>
    </row>
    <row r="79" spans="9:25" x14ac:dyDescent="0.25">
      <c r="I79" s="314" t="s">
        <v>587</v>
      </c>
      <c r="J79" s="295"/>
      <c r="K79" s="295"/>
      <c r="L79" s="294"/>
      <c r="M79" s="295"/>
      <c r="N79" s="295"/>
      <c r="O79" s="295"/>
      <c r="P79" s="295"/>
      <c r="Q79" s="295"/>
    </row>
    <row r="80" spans="9:25" x14ac:dyDescent="0.25">
      <c r="I80" s="314" t="s">
        <v>588</v>
      </c>
      <c r="J80" s="295"/>
      <c r="K80" s="295"/>
      <c r="L80" s="294"/>
      <c r="M80" s="295"/>
      <c r="N80" s="295"/>
      <c r="O80" s="295"/>
      <c r="P80" s="295"/>
      <c r="Q80" s="295"/>
    </row>
    <row r="81" spans="9:17" x14ac:dyDescent="0.25">
      <c r="I81" s="314"/>
      <c r="J81" s="295"/>
      <c r="K81" s="295"/>
      <c r="L81" s="294"/>
      <c r="M81" s="295"/>
      <c r="N81" s="295"/>
      <c r="O81" s="295"/>
      <c r="P81" s="295"/>
      <c r="Q81" s="295"/>
    </row>
    <row r="82" spans="9:17" x14ac:dyDescent="0.25">
      <c r="I82" s="314" t="s">
        <v>589</v>
      </c>
      <c r="J82" s="373">
        <f>0.8%*('E-Inv AF y Am'!B8+'E-Inv AF y Am'!B7)</f>
        <v>326048</v>
      </c>
      <c r="K82" s="373"/>
      <c r="L82" s="373" t="s">
        <v>635</v>
      </c>
      <c r="M82" s="295"/>
      <c r="N82" s="295"/>
      <c r="O82" s="295"/>
      <c r="P82" s="295"/>
      <c r="Q82" s="295"/>
    </row>
    <row r="83" spans="9:17" x14ac:dyDescent="0.25">
      <c r="I83" s="316" t="s">
        <v>590</v>
      </c>
      <c r="J83" s="373">
        <f>1%*('E-Inv AF y Am'!B7+'E-Inv AF y Am'!B8)</f>
        <v>407560</v>
      </c>
      <c r="K83" s="373"/>
      <c r="L83" s="373" t="s">
        <v>635</v>
      </c>
      <c r="M83" s="295"/>
      <c r="N83" s="295"/>
      <c r="O83" s="295"/>
      <c r="P83" s="295"/>
      <c r="Q83" s="295"/>
    </row>
    <row r="84" spans="9:17" x14ac:dyDescent="0.25">
      <c r="I84" s="316" t="s">
        <v>591</v>
      </c>
      <c r="J84" s="373">
        <f>3%*'E-Inv AF y Am'!B15</f>
        <v>54000</v>
      </c>
      <c r="K84" s="373"/>
      <c r="L84" s="373" t="s">
        <v>635</v>
      </c>
      <c r="M84" s="295"/>
      <c r="N84" s="295"/>
      <c r="O84" s="295"/>
      <c r="P84" s="295"/>
      <c r="Q84" s="295"/>
    </row>
    <row r="85" spans="9:17" x14ac:dyDescent="0.25">
      <c r="I85" s="295"/>
      <c r="J85" s="295"/>
      <c r="K85" s="294"/>
      <c r="L85" s="294"/>
      <c r="M85" s="295"/>
      <c r="O85" s="295"/>
      <c r="P85" s="295"/>
      <c r="Q85" s="295"/>
    </row>
    <row r="86" spans="9:17" x14ac:dyDescent="0.25">
      <c r="O86" s="295"/>
      <c r="P86" s="295"/>
    </row>
    <row r="87" spans="9:17" x14ac:dyDescent="0.25">
      <c r="I87" s="15" t="s">
        <v>437</v>
      </c>
    </row>
    <row r="88" spans="9:17" x14ac:dyDescent="0.25">
      <c r="I88" s="15" t="s">
        <v>480</v>
      </c>
      <c r="J88" s="15">
        <f>J51*N28/J49</f>
        <v>92313.251118466593</v>
      </c>
    </row>
    <row r="89" spans="9:17" x14ac:dyDescent="0.25">
      <c r="I89" s="15" t="s">
        <v>481</v>
      </c>
      <c r="J89" s="15">
        <f>J52*N28/J49</f>
        <v>141666.36736472879</v>
      </c>
    </row>
    <row r="91" spans="9:17" x14ac:dyDescent="0.25">
      <c r="N91" s="274" t="s">
        <v>158</v>
      </c>
    </row>
    <row r="92" spans="9:17" x14ac:dyDescent="0.25">
      <c r="I92" s="274" t="s">
        <v>482</v>
      </c>
      <c r="J92" s="274" t="s">
        <v>483</v>
      </c>
      <c r="K92" s="274" t="s">
        <v>445</v>
      </c>
      <c r="L92" s="274" t="s">
        <v>484</v>
      </c>
      <c r="M92" s="276" t="s">
        <v>485</v>
      </c>
      <c r="N92" s="286">
        <f>(L93*M93)/2</f>
        <v>16449.667142392333</v>
      </c>
    </row>
    <row r="93" spans="9:17" x14ac:dyDescent="0.25">
      <c r="I93" s="274" t="s">
        <v>486</v>
      </c>
      <c r="J93" s="286">
        <f>'E-Costos'!B11</f>
        <v>1784165.76</v>
      </c>
      <c r="K93" s="375">
        <f>+W71</f>
        <v>34330.43</v>
      </c>
      <c r="L93" s="286">
        <f>J93/K93</f>
        <v>51.970387787161421</v>
      </c>
      <c r="M93" s="287">
        <f>$J$51</f>
        <v>633.04</v>
      </c>
      <c r="N93" s="286">
        <f>(L94*M94)/2</f>
        <v>13445.813008457142</v>
      </c>
    </row>
    <row r="94" spans="9:17" x14ac:dyDescent="0.25">
      <c r="I94" s="274" t="s">
        <v>487</v>
      </c>
      <c r="J94" s="286">
        <f>'E-Costos'!C11</f>
        <v>1784165.76</v>
      </c>
      <c r="K94" s="375">
        <f>W65</f>
        <v>42000</v>
      </c>
      <c r="L94" s="286">
        <f>J94/K94</f>
        <v>42.480137142857146</v>
      </c>
      <c r="M94" s="287">
        <f>$J$51</f>
        <v>633.04</v>
      </c>
      <c r="N94" s="286">
        <f>(L95*M95)/2</f>
        <v>13106.684437028571</v>
      </c>
    </row>
    <row r="95" spans="9:17" x14ac:dyDescent="0.25">
      <c r="I95" s="274" t="s">
        <v>488</v>
      </c>
      <c r="J95" s="286">
        <f>'E-Costos'!E11</f>
        <v>1739165.76</v>
      </c>
      <c r="K95" s="375">
        <f>W65</f>
        <v>42000</v>
      </c>
      <c r="L95" s="286">
        <f>J95/K95</f>
        <v>41.408708571428569</v>
      </c>
      <c r="M95" s="287">
        <f>$J$51</f>
        <v>633.04</v>
      </c>
      <c r="N95" s="274"/>
    </row>
    <row r="96" spans="9:17" x14ac:dyDescent="0.25">
      <c r="I96" s="274"/>
      <c r="J96" s="273"/>
      <c r="K96" s="274"/>
      <c r="L96" s="271"/>
      <c r="M96" s="276"/>
      <c r="N96" s="274" t="s">
        <v>158</v>
      </c>
    </row>
    <row r="97" spans="9:27" x14ac:dyDescent="0.25">
      <c r="I97" s="274" t="s">
        <v>561</v>
      </c>
      <c r="J97" s="274" t="s">
        <v>483</v>
      </c>
      <c r="K97" s="274" t="s">
        <v>445</v>
      </c>
      <c r="L97" s="274" t="s">
        <v>484</v>
      </c>
      <c r="M97" s="276" t="s">
        <v>485</v>
      </c>
      <c r="N97" s="286">
        <f>(L98*M98)/2</f>
        <v>24893.483711098288</v>
      </c>
    </row>
    <row r="98" spans="9:27" x14ac:dyDescent="0.25">
      <c r="I98" s="274" t="s">
        <v>562</v>
      </c>
      <c r="J98" s="286">
        <f>O28</f>
        <v>2700000</v>
      </c>
      <c r="K98" s="375">
        <f>+W71</f>
        <v>34330.43</v>
      </c>
      <c r="L98" s="286">
        <f>J98/K98</f>
        <v>78.647427369829046</v>
      </c>
      <c r="M98" s="287">
        <f>$J$51</f>
        <v>633.04</v>
      </c>
      <c r="N98" s="274"/>
    </row>
    <row r="99" spans="9:27" x14ac:dyDescent="0.25">
      <c r="I99" s="274"/>
      <c r="J99" s="273"/>
      <c r="K99" s="274"/>
      <c r="L99" s="271"/>
      <c r="M99" s="276"/>
      <c r="N99" s="294" t="s">
        <v>158</v>
      </c>
    </row>
    <row r="100" spans="9:27" x14ac:dyDescent="0.25">
      <c r="I100" s="294" t="s">
        <v>571</v>
      </c>
      <c r="J100" s="294" t="s">
        <v>483</v>
      </c>
      <c r="K100" s="294" t="s">
        <v>445</v>
      </c>
      <c r="L100" s="294" t="s">
        <v>484</v>
      </c>
      <c r="M100" s="300" t="s">
        <v>485</v>
      </c>
      <c r="N100" s="286">
        <f>(L101*M101)/2</f>
        <v>2705.4901923453917</v>
      </c>
    </row>
    <row r="101" spans="9:27" x14ac:dyDescent="0.25">
      <c r="I101" s="294" t="s">
        <v>54</v>
      </c>
      <c r="J101" s="286">
        <f>'E-Costos'!B15</f>
        <v>293443.20000000001</v>
      </c>
      <c r="K101" s="375">
        <f>+W71</f>
        <v>34330.43</v>
      </c>
      <c r="L101" s="286">
        <f>J101/K101</f>
        <v>8.5476121330260071</v>
      </c>
      <c r="M101" s="287">
        <f>$J$51</f>
        <v>633.04</v>
      </c>
      <c r="N101" s="286">
        <f>(L102*M102)/2</f>
        <v>2211.4438491428573</v>
      </c>
    </row>
    <row r="102" spans="9:27" x14ac:dyDescent="0.25">
      <c r="I102" s="294" t="s">
        <v>567</v>
      </c>
      <c r="J102" s="286">
        <f>'E-Costos'!C15</f>
        <v>293443.20000000001</v>
      </c>
      <c r="K102" s="375">
        <f>+W65</f>
        <v>42000</v>
      </c>
      <c r="L102" s="286">
        <f>J102/K102</f>
        <v>6.9867428571428576</v>
      </c>
      <c r="M102" s="287">
        <f>$J$51</f>
        <v>633.04</v>
      </c>
      <c r="N102" s="294"/>
    </row>
    <row r="103" spans="9:27" x14ac:dyDescent="0.25">
      <c r="I103" s="294"/>
      <c r="J103" s="273"/>
      <c r="K103" s="294"/>
      <c r="L103" s="271"/>
      <c r="M103" s="300"/>
      <c r="N103" s="274"/>
    </row>
    <row r="104" spans="9:27" x14ac:dyDescent="0.25">
      <c r="I104" s="274"/>
      <c r="J104" s="273"/>
      <c r="K104" s="274"/>
      <c r="L104" s="271"/>
      <c r="M104" s="276"/>
      <c r="N104" s="274"/>
    </row>
    <row r="105" spans="9:27" x14ac:dyDescent="0.25">
      <c r="I105" s="274"/>
      <c r="J105" s="273"/>
      <c r="K105" s="274"/>
      <c r="L105" s="271"/>
      <c r="M105" s="276"/>
      <c r="N105" s="274"/>
    </row>
    <row r="106" spans="9:27" x14ac:dyDescent="0.25">
      <c r="I106" s="274"/>
      <c r="J106" s="273"/>
      <c r="K106" s="274"/>
      <c r="L106" s="271"/>
      <c r="M106" s="276"/>
      <c r="N106" s="274"/>
    </row>
    <row r="107" spans="9:27" x14ac:dyDescent="0.25">
      <c r="I107" s="274"/>
      <c r="J107" s="273"/>
      <c r="K107" s="274"/>
      <c r="L107" s="271"/>
      <c r="M107" s="276"/>
      <c r="N107" s="274"/>
    </row>
    <row r="108" spans="9:27" x14ac:dyDescent="0.25">
      <c r="I108" s="274"/>
      <c r="J108" s="273"/>
      <c r="K108" s="274"/>
      <c r="L108" s="271"/>
      <c r="M108" s="276"/>
    </row>
    <row r="109" spans="9:27" x14ac:dyDescent="0.25">
      <c r="I109" s="274"/>
      <c r="J109" s="273"/>
      <c r="K109" s="274"/>
      <c r="L109" s="271"/>
      <c r="M109" s="276"/>
    </row>
    <row r="110" spans="9:27" x14ac:dyDescent="0.25">
      <c r="I110" s="274"/>
      <c r="J110" s="273"/>
      <c r="K110" s="274"/>
      <c r="L110" s="271"/>
      <c r="M110" s="276"/>
      <c r="AA110" s="295"/>
    </row>
    <row r="111" spans="9:27" x14ac:dyDescent="0.25">
      <c r="AA111" s="295"/>
    </row>
    <row r="112" spans="9:27" ht="13" thickBot="1" x14ac:dyDescent="0.3">
      <c r="AA112" s="295"/>
    </row>
    <row r="113" spans="9:27" ht="18" thickBot="1" x14ac:dyDescent="0.4">
      <c r="I113" s="277" t="s">
        <v>489</v>
      </c>
      <c r="J113" s="278" t="s">
        <v>492</v>
      </c>
      <c r="K113" s="277" t="s">
        <v>490</v>
      </c>
      <c r="L113" s="277" t="s">
        <v>491</v>
      </c>
      <c r="AA113" s="295"/>
    </row>
    <row r="114" spans="9:27" ht="17.5" x14ac:dyDescent="0.35">
      <c r="I114" s="279" t="s">
        <v>493</v>
      </c>
      <c r="J114" s="280">
        <f>10*3000</f>
        <v>30000</v>
      </c>
      <c r="K114" s="291" t="s">
        <v>494</v>
      </c>
      <c r="L114" s="291" t="s">
        <v>495</v>
      </c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</row>
    <row r="115" spans="9:27" ht="17.5" x14ac:dyDescent="0.35">
      <c r="I115" s="281" t="s">
        <v>496</v>
      </c>
      <c r="J115" s="282">
        <f>10*3000</f>
        <v>30000</v>
      </c>
      <c r="K115" s="290" t="s">
        <v>494</v>
      </c>
      <c r="L115" s="290" t="s">
        <v>495</v>
      </c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</row>
    <row r="116" spans="9:27" ht="17.5" x14ac:dyDescent="0.35">
      <c r="I116" s="281" t="s">
        <v>497</v>
      </c>
      <c r="J116" s="282">
        <f>10*3000</f>
        <v>30000</v>
      </c>
      <c r="K116" s="290" t="s">
        <v>494</v>
      </c>
      <c r="L116" s="290" t="s">
        <v>495</v>
      </c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</row>
    <row r="117" spans="9:27" ht="17.5" x14ac:dyDescent="0.35">
      <c r="I117" s="281" t="s">
        <v>498</v>
      </c>
      <c r="J117" s="282">
        <f>10*2000</f>
        <v>20000</v>
      </c>
      <c r="K117" s="290" t="s">
        <v>494</v>
      </c>
      <c r="L117" s="290" t="s">
        <v>495</v>
      </c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</row>
    <row r="118" spans="9:27" ht="17.5" x14ac:dyDescent="0.35">
      <c r="I118" s="281" t="s">
        <v>499</v>
      </c>
      <c r="J118" s="510">
        <f>10*10000</f>
        <v>100000</v>
      </c>
      <c r="K118" s="290" t="s">
        <v>494</v>
      </c>
      <c r="L118" s="290" t="s">
        <v>495</v>
      </c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</row>
    <row r="119" spans="9:27" ht="17.5" x14ac:dyDescent="0.35">
      <c r="I119" s="281" t="s">
        <v>500</v>
      </c>
      <c r="J119" s="510"/>
      <c r="K119" s="290" t="s">
        <v>494</v>
      </c>
      <c r="L119" s="290" t="s">
        <v>495</v>
      </c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</row>
    <row r="120" spans="9:27" ht="17.5" x14ac:dyDescent="0.35">
      <c r="I120" s="281" t="s">
        <v>501</v>
      </c>
      <c r="J120" s="510"/>
      <c r="K120" s="290" t="s">
        <v>494</v>
      </c>
      <c r="L120" s="290" t="s">
        <v>495</v>
      </c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</row>
    <row r="121" spans="9:27" ht="17.5" x14ac:dyDescent="0.35">
      <c r="I121" s="281" t="s">
        <v>502</v>
      </c>
      <c r="J121" s="510"/>
      <c r="K121" s="290" t="s">
        <v>494</v>
      </c>
      <c r="L121" s="290" t="s">
        <v>495</v>
      </c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</row>
    <row r="122" spans="9:27" ht="17.5" x14ac:dyDescent="0.35">
      <c r="I122" s="279" t="s">
        <v>503</v>
      </c>
      <c r="J122" s="280">
        <f>10*5000</f>
        <v>50000</v>
      </c>
      <c r="K122" s="291" t="s">
        <v>494</v>
      </c>
      <c r="L122" s="291" t="s">
        <v>495</v>
      </c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</row>
    <row r="123" spans="9:27" ht="17.5" x14ac:dyDescent="0.35">
      <c r="I123" s="281" t="s">
        <v>504</v>
      </c>
      <c r="J123" s="282">
        <f>10*500</f>
        <v>5000</v>
      </c>
      <c r="K123" s="290" t="s">
        <v>494</v>
      </c>
      <c r="L123" s="290" t="s">
        <v>495</v>
      </c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</row>
    <row r="124" spans="9:27" ht="17.5" x14ac:dyDescent="0.35">
      <c r="I124" s="281" t="s">
        <v>505</v>
      </c>
      <c r="J124" s="282">
        <f>10*300</f>
        <v>3000</v>
      </c>
      <c r="K124" s="290" t="s">
        <v>494</v>
      </c>
      <c r="L124" s="290" t="s">
        <v>495</v>
      </c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</row>
    <row r="125" spans="9:27" ht="17.5" x14ac:dyDescent="0.35">
      <c r="I125" s="281" t="s">
        <v>506</v>
      </c>
      <c r="J125" s="282">
        <f>10*500</f>
        <v>5000</v>
      </c>
      <c r="K125" s="290" t="s">
        <v>494</v>
      </c>
      <c r="L125" s="290" t="s">
        <v>495</v>
      </c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</row>
    <row r="126" spans="9:27" ht="17.5" x14ac:dyDescent="0.35">
      <c r="I126" s="281" t="s">
        <v>507</v>
      </c>
      <c r="J126" s="282">
        <f>4*150</f>
        <v>600</v>
      </c>
      <c r="K126" s="290" t="s">
        <v>494</v>
      </c>
      <c r="L126" s="290" t="s">
        <v>495</v>
      </c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  <c r="X126" s="295"/>
      <c r="Y126" s="295"/>
      <c r="Z126" s="295"/>
      <c r="AA126" s="295"/>
    </row>
    <row r="127" spans="9:27" ht="17.5" x14ac:dyDescent="0.35">
      <c r="I127" s="281" t="s">
        <v>508</v>
      </c>
      <c r="J127" s="282">
        <f>10*500</f>
        <v>5000</v>
      </c>
      <c r="K127" s="290" t="s">
        <v>494</v>
      </c>
      <c r="L127" s="290" t="s">
        <v>495</v>
      </c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</row>
    <row r="128" spans="9:27" ht="17.5" x14ac:dyDescent="0.35">
      <c r="I128" s="281" t="s">
        <v>509</v>
      </c>
      <c r="J128" s="282">
        <f>8*100</f>
        <v>800</v>
      </c>
      <c r="K128" s="290" t="s">
        <v>494</v>
      </c>
      <c r="L128" s="290" t="s">
        <v>495</v>
      </c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</row>
    <row r="129" spans="1:27" ht="17.5" x14ac:dyDescent="0.35">
      <c r="I129" s="281" t="s">
        <v>510</v>
      </c>
      <c r="J129" s="282">
        <f>10*10000</f>
        <v>100000</v>
      </c>
      <c r="K129" s="290" t="s">
        <v>494</v>
      </c>
      <c r="L129" s="290" t="s">
        <v>495</v>
      </c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</row>
    <row r="130" spans="1:27" ht="17.5" x14ac:dyDescent="0.35">
      <c r="I130" s="281" t="s">
        <v>511</v>
      </c>
      <c r="J130" s="282">
        <f>10*10000</f>
        <v>100000</v>
      </c>
      <c r="K130" s="290" t="s">
        <v>494</v>
      </c>
      <c r="L130" s="290" t="s">
        <v>495</v>
      </c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</row>
    <row r="131" spans="1:27" ht="17.5" x14ac:dyDescent="0.35">
      <c r="I131" s="281" t="s">
        <v>512</v>
      </c>
      <c r="J131" s="282">
        <v>1500</v>
      </c>
      <c r="K131" s="290" t="s">
        <v>494</v>
      </c>
      <c r="L131" s="290" t="s">
        <v>495</v>
      </c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</row>
    <row r="132" spans="1:27" ht="17.5" x14ac:dyDescent="0.35">
      <c r="I132" s="281" t="s">
        <v>513</v>
      </c>
      <c r="J132" s="282">
        <v>105000</v>
      </c>
      <c r="K132" s="290" t="s">
        <v>494</v>
      </c>
      <c r="L132" s="290" t="s">
        <v>495</v>
      </c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</row>
    <row r="133" spans="1:27" ht="17.5" x14ac:dyDescent="0.35">
      <c r="I133" s="281" t="s">
        <v>514</v>
      </c>
      <c r="J133" s="282">
        <f>4000*3</f>
        <v>12000</v>
      </c>
      <c r="K133" s="290" t="s">
        <v>515</v>
      </c>
      <c r="L133" s="290" t="s">
        <v>516</v>
      </c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  <c r="X133" s="295"/>
      <c r="Y133" s="295"/>
      <c r="Z133" s="295"/>
      <c r="AA133" s="295"/>
    </row>
    <row r="134" spans="1:27" ht="17.5" x14ac:dyDescent="0.35">
      <c r="I134" s="281" t="s">
        <v>517</v>
      </c>
      <c r="J134" s="282">
        <f>150*3</f>
        <v>450</v>
      </c>
      <c r="K134" s="290" t="s">
        <v>515</v>
      </c>
      <c r="L134" s="290" t="s">
        <v>516</v>
      </c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95"/>
      <c r="Y134" s="295"/>
      <c r="Z134" s="295"/>
      <c r="AA134" s="295"/>
    </row>
    <row r="135" spans="1:27" ht="17.5" x14ac:dyDescent="0.35">
      <c r="I135" s="281" t="s">
        <v>518</v>
      </c>
      <c r="J135" s="282">
        <f>800</f>
        <v>800</v>
      </c>
      <c r="K135" s="290" t="s">
        <v>515</v>
      </c>
      <c r="L135" s="290" t="s">
        <v>516</v>
      </c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5"/>
      <c r="Z135" s="295"/>
      <c r="AA135" s="295"/>
    </row>
    <row r="136" spans="1:27" ht="17.5" x14ac:dyDescent="0.35">
      <c r="A136" s="100" t="s">
        <v>167</v>
      </c>
      <c r="I136" s="281" t="s">
        <v>519</v>
      </c>
      <c r="J136" s="282">
        <f>1000*3</f>
        <v>3000</v>
      </c>
      <c r="K136" s="290" t="s">
        <v>515</v>
      </c>
      <c r="L136" s="290" t="s">
        <v>516</v>
      </c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</row>
    <row r="137" spans="1:27" ht="17.5" x14ac:dyDescent="0.35">
      <c r="I137" s="281" t="s">
        <v>520</v>
      </c>
      <c r="J137" s="282">
        <f>60*173</f>
        <v>10380</v>
      </c>
      <c r="K137" s="290" t="s">
        <v>515</v>
      </c>
      <c r="L137" s="290" t="s">
        <v>516</v>
      </c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</row>
    <row r="138" spans="1:27" ht="17.5" x14ac:dyDescent="0.35">
      <c r="I138" s="281" t="s">
        <v>521</v>
      </c>
      <c r="J138" s="282">
        <f>200*3</f>
        <v>600</v>
      </c>
      <c r="K138" s="290" t="s">
        <v>515</v>
      </c>
      <c r="L138" s="290" t="s">
        <v>516</v>
      </c>
    </row>
    <row r="139" spans="1:27" ht="17.5" x14ac:dyDescent="0.35">
      <c r="I139" s="281" t="s">
        <v>522</v>
      </c>
      <c r="J139" s="282">
        <f>3*1000</f>
        <v>3000</v>
      </c>
      <c r="K139" s="290" t="s">
        <v>515</v>
      </c>
      <c r="L139" s="290" t="s">
        <v>516</v>
      </c>
    </row>
    <row r="140" spans="1:27" ht="17.5" x14ac:dyDescent="0.35">
      <c r="I140" s="281" t="s">
        <v>523</v>
      </c>
      <c r="J140" s="282">
        <v>10380</v>
      </c>
      <c r="K140" s="290" t="s">
        <v>515</v>
      </c>
      <c r="L140" s="290" t="s">
        <v>516</v>
      </c>
    </row>
    <row r="141" spans="1:27" ht="17.5" x14ac:dyDescent="0.35">
      <c r="I141" s="281" t="s">
        <v>524</v>
      </c>
      <c r="J141" s="282">
        <v>10000</v>
      </c>
      <c r="K141" s="290" t="s">
        <v>445</v>
      </c>
      <c r="L141" s="290" t="s">
        <v>525</v>
      </c>
    </row>
    <row r="142" spans="1:27" ht="17.5" x14ac:dyDescent="0.35">
      <c r="I142" s="281" t="s">
        <v>526</v>
      </c>
      <c r="J142" s="282">
        <f>3*2500</f>
        <v>7500</v>
      </c>
      <c r="K142" s="290" t="s">
        <v>527</v>
      </c>
      <c r="L142" s="290" t="s">
        <v>528</v>
      </c>
    </row>
    <row r="143" spans="1:27" ht="17.5" x14ac:dyDescent="0.35">
      <c r="I143" s="281" t="s">
        <v>529</v>
      </c>
      <c r="J143" s="282">
        <v>10000</v>
      </c>
      <c r="K143" s="290" t="s">
        <v>527</v>
      </c>
      <c r="L143" s="290" t="s">
        <v>528</v>
      </c>
    </row>
    <row r="144" spans="1:27" ht="17.5" x14ac:dyDescent="0.35">
      <c r="I144" s="281" t="s">
        <v>530</v>
      </c>
      <c r="J144" s="282">
        <v>20000</v>
      </c>
      <c r="K144" s="290" t="s">
        <v>130</v>
      </c>
      <c r="L144" s="290" t="s">
        <v>130</v>
      </c>
    </row>
    <row r="145" spans="9:12" ht="17.5" x14ac:dyDescent="0.35">
      <c r="I145" s="281" t="s">
        <v>531</v>
      </c>
      <c r="J145" s="282">
        <f>10*300</f>
        <v>3000</v>
      </c>
      <c r="K145" s="290" t="s">
        <v>130</v>
      </c>
      <c r="L145" s="290" t="s">
        <v>130</v>
      </c>
    </row>
    <row r="146" spans="9:12" ht="17.5" x14ac:dyDescent="0.35">
      <c r="I146" s="281" t="s">
        <v>532</v>
      </c>
      <c r="J146" s="282">
        <f>10*300</f>
        <v>3000</v>
      </c>
      <c r="K146" s="290" t="s">
        <v>130</v>
      </c>
      <c r="L146" s="290" t="s">
        <v>130</v>
      </c>
    </row>
    <row r="147" spans="9:12" ht="17.5" x14ac:dyDescent="0.35">
      <c r="I147" s="281" t="s">
        <v>533</v>
      </c>
      <c r="J147" s="282">
        <f>2*3500</f>
        <v>7000</v>
      </c>
      <c r="K147" s="290" t="s">
        <v>130</v>
      </c>
      <c r="L147" s="290" t="s">
        <v>130</v>
      </c>
    </row>
    <row r="148" spans="9:12" ht="17.5" x14ac:dyDescent="0.35">
      <c r="I148" s="281" t="s">
        <v>534</v>
      </c>
      <c r="J148" s="282">
        <f>4*1200</f>
        <v>4800</v>
      </c>
      <c r="K148" s="290" t="s">
        <v>445</v>
      </c>
      <c r="L148" s="290" t="s">
        <v>535</v>
      </c>
    </row>
    <row r="149" spans="9:12" ht="17.5" x14ac:dyDescent="0.35">
      <c r="I149" s="281" t="s">
        <v>536</v>
      </c>
      <c r="J149" s="282">
        <f>400*20</f>
        <v>8000</v>
      </c>
      <c r="K149" s="290" t="s">
        <v>445</v>
      </c>
      <c r="L149" s="290" t="s">
        <v>537</v>
      </c>
    </row>
    <row r="150" spans="9:12" ht="17.5" x14ac:dyDescent="0.35">
      <c r="I150" s="281" t="s">
        <v>538</v>
      </c>
      <c r="J150" s="282">
        <f>1500*20</f>
        <v>30000</v>
      </c>
      <c r="K150" s="290" t="s">
        <v>445</v>
      </c>
      <c r="L150" s="290" t="s">
        <v>537</v>
      </c>
    </row>
    <row r="151" spans="9:12" ht="17.5" x14ac:dyDescent="0.35">
      <c r="I151" s="281" t="s">
        <v>539</v>
      </c>
      <c r="J151" s="282">
        <f>500*20</f>
        <v>10000</v>
      </c>
      <c r="K151" s="290" t="s">
        <v>445</v>
      </c>
      <c r="L151" s="290" t="s">
        <v>537</v>
      </c>
    </row>
    <row r="152" spans="9:12" ht="17.5" x14ac:dyDescent="0.35">
      <c r="I152" s="281" t="s">
        <v>540</v>
      </c>
      <c r="J152" s="282">
        <f>20*15</f>
        <v>300</v>
      </c>
      <c r="K152" s="290" t="s">
        <v>445</v>
      </c>
      <c r="L152" s="290" t="s">
        <v>537</v>
      </c>
    </row>
    <row r="153" spans="9:12" ht="17.5" x14ac:dyDescent="0.35">
      <c r="I153" s="281" t="s">
        <v>541</v>
      </c>
      <c r="J153" s="282">
        <f>20*300</f>
        <v>6000</v>
      </c>
      <c r="K153" s="290" t="s">
        <v>445</v>
      </c>
      <c r="L153" s="290" t="s">
        <v>542</v>
      </c>
    </row>
    <row r="154" spans="9:12" ht="17.5" x14ac:dyDescent="0.35">
      <c r="I154" s="281" t="s">
        <v>543</v>
      </c>
      <c r="J154" s="282">
        <f>500*20</f>
        <v>10000</v>
      </c>
      <c r="K154" s="290" t="s">
        <v>445</v>
      </c>
      <c r="L154" s="290" t="s">
        <v>535</v>
      </c>
    </row>
    <row r="155" spans="9:12" ht="17.5" x14ac:dyDescent="0.35">
      <c r="I155" s="281" t="s">
        <v>544</v>
      </c>
      <c r="J155" s="282">
        <f>10*300</f>
        <v>3000</v>
      </c>
      <c r="K155" s="290" t="s">
        <v>445</v>
      </c>
      <c r="L155" s="290" t="s">
        <v>535</v>
      </c>
    </row>
    <row r="156" spans="9:12" ht="17.5" x14ac:dyDescent="0.35">
      <c r="I156" s="281" t="s">
        <v>545</v>
      </c>
      <c r="J156" s="282">
        <f>1000</f>
        <v>1000</v>
      </c>
      <c r="K156" s="290" t="s">
        <v>527</v>
      </c>
      <c r="L156" s="290" t="s">
        <v>546</v>
      </c>
    </row>
    <row r="157" spans="9:12" ht="17.5" x14ac:dyDescent="0.35">
      <c r="I157" s="281" t="s">
        <v>547</v>
      </c>
      <c r="J157" s="282">
        <f>8*500</f>
        <v>4000</v>
      </c>
      <c r="K157" s="290" t="s">
        <v>445</v>
      </c>
      <c r="L157" s="290" t="s">
        <v>535</v>
      </c>
    </row>
    <row r="158" spans="9:12" ht="17.5" x14ac:dyDescent="0.35">
      <c r="I158" s="281" t="s">
        <v>548</v>
      </c>
      <c r="J158" s="282">
        <f>15000</f>
        <v>15000</v>
      </c>
      <c r="K158" s="290" t="s">
        <v>445</v>
      </c>
      <c r="L158" s="290" t="s">
        <v>546</v>
      </c>
    </row>
    <row r="159" spans="9:12" ht="17.5" x14ac:dyDescent="0.35">
      <c r="I159" s="281" t="s">
        <v>549</v>
      </c>
      <c r="J159" s="282">
        <f>400*6</f>
        <v>2400</v>
      </c>
      <c r="K159" s="290" t="s">
        <v>515</v>
      </c>
      <c r="L159" s="290" t="s">
        <v>495</v>
      </c>
    </row>
    <row r="160" spans="9:12" ht="17.5" x14ac:dyDescent="0.35">
      <c r="I160" s="281" t="s">
        <v>550</v>
      </c>
      <c r="J160" s="282">
        <f>300*5</f>
        <v>1500</v>
      </c>
      <c r="K160" s="290" t="s">
        <v>130</v>
      </c>
      <c r="L160" s="290" t="s">
        <v>130</v>
      </c>
    </row>
    <row r="161" spans="9:12" ht="17.5" x14ac:dyDescent="0.35">
      <c r="I161" s="281" t="s">
        <v>551</v>
      </c>
      <c r="J161" s="282">
        <f>16*500</f>
        <v>8000</v>
      </c>
      <c r="K161" s="290" t="s">
        <v>130</v>
      </c>
      <c r="L161" s="290" t="s">
        <v>130</v>
      </c>
    </row>
    <row r="162" spans="9:12" ht="17.5" x14ac:dyDescent="0.35">
      <c r="I162" s="281" t="s">
        <v>552</v>
      </c>
      <c r="J162" s="282">
        <f>20000</f>
        <v>20000</v>
      </c>
      <c r="K162" s="290" t="s">
        <v>527</v>
      </c>
      <c r="L162" s="290" t="s">
        <v>546</v>
      </c>
    </row>
    <row r="163" spans="9:12" ht="17.5" x14ac:dyDescent="0.35">
      <c r="I163" s="281" t="s">
        <v>553</v>
      </c>
      <c r="J163" s="282">
        <v>1000</v>
      </c>
      <c r="K163" s="290" t="s">
        <v>445</v>
      </c>
      <c r="L163" s="290" t="s">
        <v>535</v>
      </c>
    </row>
    <row r="164" spans="9:12" ht="17.5" x14ac:dyDescent="0.35">
      <c r="I164" s="281" t="s">
        <v>554</v>
      </c>
      <c r="J164" s="282">
        <f>6*300000</f>
        <v>1800000</v>
      </c>
      <c r="K164" s="290" t="s">
        <v>555</v>
      </c>
      <c r="L164" s="290" t="s">
        <v>401</v>
      </c>
    </row>
    <row r="165" spans="9:12" ht="17.5" x14ac:dyDescent="0.35">
      <c r="I165" s="281" t="s">
        <v>556</v>
      </c>
      <c r="J165" s="282">
        <f>4*400</f>
        <v>1600</v>
      </c>
      <c r="K165" s="290" t="s">
        <v>445</v>
      </c>
      <c r="L165" s="289" t="s">
        <v>535</v>
      </c>
    </row>
    <row r="166" spans="9:12" ht="17.5" x14ac:dyDescent="0.35">
      <c r="I166" s="281" t="s">
        <v>557</v>
      </c>
      <c r="J166" s="283">
        <f>5000*45</f>
        <v>225000</v>
      </c>
      <c r="K166" s="290" t="s">
        <v>445</v>
      </c>
      <c r="L166" s="289" t="s">
        <v>535</v>
      </c>
    </row>
    <row r="167" spans="9:12" ht="17.5" x14ac:dyDescent="0.35">
      <c r="I167" s="281" t="s">
        <v>558</v>
      </c>
      <c r="J167" s="282">
        <f>1000*200</f>
        <v>200000</v>
      </c>
      <c r="K167" s="290" t="s">
        <v>445</v>
      </c>
      <c r="L167" s="289" t="s">
        <v>535</v>
      </c>
    </row>
    <row r="168" spans="9:12" ht="18" thickBot="1" x14ac:dyDescent="0.4">
      <c r="I168" s="284" t="s">
        <v>559</v>
      </c>
      <c r="J168" s="285">
        <f>W71*W70</f>
        <v>0</v>
      </c>
      <c r="K168" s="288" t="s">
        <v>445</v>
      </c>
      <c r="L168" s="288" t="s">
        <v>535</v>
      </c>
    </row>
    <row r="169" spans="9:12" x14ac:dyDescent="0.25">
      <c r="J169" s="293">
        <f>SUM(J114:J168)</f>
        <v>3038610</v>
      </c>
    </row>
    <row r="170" spans="9:12" x14ac:dyDescent="0.25">
      <c r="L170" s="229"/>
    </row>
  </sheetData>
  <sheetProtection selectLockedCells="1" selectUnlockedCells="1"/>
  <mergeCells count="24">
    <mergeCell ref="K48:L48"/>
    <mergeCell ref="I21:J21"/>
    <mergeCell ref="I22:J22"/>
    <mergeCell ref="I23:J23"/>
    <mergeCell ref="I24:J24"/>
    <mergeCell ref="I25:J25"/>
    <mergeCell ref="I20:J20"/>
    <mergeCell ref="L3:O3"/>
    <mergeCell ref="I4:J4"/>
    <mergeCell ref="I5:J5"/>
    <mergeCell ref="I6:J6"/>
    <mergeCell ref="I13:J13"/>
    <mergeCell ref="I14:J14"/>
    <mergeCell ref="I15:J15"/>
    <mergeCell ref="I16:J16"/>
    <mergeCell ref="I17:J17"/>
    <mergeCell ref="I18:J18"/>
    <mergeCell ref="I19:J19"/>
    <mergeCell ref="I9:J10"/>
    <mergeCell ref="J118:J121"/>
    <mergeCell ref="I27:J27"/>
    <mergeCell ref="I28:J28"/>
    <mergeCell ref="I29:J29"/>
    <mergeCell ref="I26:J26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="90" zoomScaleNormal="90" workbookViewId="0">
      <selection activeCell="G22" sqref="G22"/>
    </sheetView>
  </sheetViews>
  <sheetFormatPr baseColWidth="10" defaultColWidth="11.26953125" defaultRowHeight="12.5" x14ac:dyDescent="0.25"/>
  <cols>
    <col min="1" max="1" width="28" style="15" customWidth="1"/>
    <col min="2" max="2" width="13.26953125" style="15" bestFit="1" customWidth="1"/>
    <col min="3" max="4" width="16" style="15" bestFit="1" customWidth="1"/>
    <col min="5" max="5" width="14.81640625" style="15" bestFit="1" customWidth="1"/>
    <col min="6" max="6" width="11.7265625" style="15" bestFit="1" customWidth="1"/>
    <col min="7" max="7" width="13.26953125" style="15" bestFit="1" customWidth="1"/>
    <col min="8" max="8" width="16.7265625" style="15" bestFit="1" customWidth="1"/>
    <col min="9" max="9" width="16" style="15" bestFit="1" customWidth="1"/>
    <col min="10" max="10" width="17.26953125" style="15" customWidth="1"/>
    <col min="11" max="16384" width="11.26953125" style="15"/>
  </cols>
  <sheetData>
    <row r="1" spans="1:9" ht="13" x14ac:dyDescent="0.3">
      <c r="A1" s="1" t="s">
        <v>0</v>
      </c>
      <c r="B1"/>
      <c r="C1"/>
      <c r="D1"/>
      <c r="G1" s="2">
        <f>InfoInicial!E1</f>
        <v>2</v>
      </c>
    </row>
    <row r="3" spans="1:9" ht="15.5" x14ac:dyDescent="0.35">
      <c r="A3" s="56" t="s">
        <v>195</v>
      </c>
      <c r="B3" s="57"/>
      <c r="C3" s="57"/>
      <c r="D3" s="57"/>
      <c r="E3" s="57"/>
      <c r="F3" s="57"/>
      <c r="G3" s="57"/>
      <c r="H3" s="57"/>
      <c r="I3" s="58"/>
    </row>
    <row r="4" spans="1:9" ht="26" x14ac:dyDescent="0.3">
      <c r="A4" s="59" t="s">
        <v>94</v>
      </c>
      <c r="B4" s="107" t="s">
        <v>196</v>
      </c>
      <c r="C4" s="107" t="s">
        <v>197</v>
      </c>
      <c r="D4" s="20" t="s">
        <v>54</v>
      </c>
      <c r="E4" s="20" t="s">
        <v>95</v>
      </c>
      <c r="F4" s="20" t="s">
        <v>96</v>
      </c>
      <c r="G4" s="20" t="s">
        <v>97</v>
      </c>
      <c r="H4" s="108" t="s">
        <v>98</v>
      </c>
      <c r="I4" s="21" t="s">
        <v>198</v>
      </c>
    </row>
    <row r="5" spans="1:9" ht="13" x14ac:dyDescent="0.3">
      <c r="A5" s="102" t="s">
        <v>199</v>
      </c>
      <c r="B5" s="103"/>
      <c r="C5" s="103"/>
      <c r="D5" s="103"/>
      <c r="E5" s="103"/>
      <c r="F5" s="103"/>
      <c r="G5" s="103"/>
      <c r="H5" s="109"/>
      <c r="I5" s="104"/>
    </row>
    <row r="6" spans="1:9" x14ac:dyDescent="0.25">
      <c r="A6" s="110" t="s">
        <v>200</v>
      </c>
      <c r="B6" s="64"/>
      <c r="C6" s="64">
        <f>SUM('E-Inv AF y Am'!B20,'E-Inv AF y Am'!D20)</f>
        <v>54093644.799999997</v>
      </c>
      <c r="D6" s="64"/>
      <c r="E6" s="64"/>
      <c r="F6" s="64"/>
      <c r="G6" s="64"/>
      <c r="H6" s="111"/>
      <c r="I6" s="65">
        <f>SUM(C6:H6)</f>
        <v>54093644.799999997</v>
      </c>
    </row>
    <row r="7" spans="1:9" x14ac:dyDescent="0.25">
      <c r="A7" s="110" t="s">
        <v>201</v>
      </c>
      <c r="B7" s="64">
        <f>'E-Inv AF y Am'!B23</f>
        <v>100000</v>
      </c>
      <c r="C7" s="64">
        <f>'E-Inv AF y Am'!B31-'E-Inv AF y Am'!B23</f>
        <v>62947.200000000012</v>
      </c>
      <c r="D7" s="64">
        <f>'E-Inv AF y Am'!C26</f>
        <v>150000</v>
      </c>
      <c r="E7" s="64"/>
      <c r="F7" s="64"/>
      <c r="G7" s="64"/>
      <c r="H7" s="111"/>
      <c r="I7" s="65">
        <f>SUM(B7:H7)</f>
        <v>312947.20000000001</v>
      </c>
    </row>
    <row r="8" spans="1:9" ht="13" x14ac:dyDescent="0.3">
      <c r="A8" s="102" t="s">
        <v>202</v>
      </c>
      <c r="B8" s="64">
        <f>SUM(B6:B7)</f>
        <v>100000</v>
      </c>
      <c r="C8" s="64">
        <f t="shared" ref="C8:H8" si="0">SUM(C6:C7)</f>
        <v>54156592</v>
      </c>
      <c r="D8" s="64">
        <f t="shared" si="0"/>
        <v>150000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5">
        <f>SUM(B8:H8)</f>
        <v>54406592</v>
      </c>
    </row>
    <row r="9" spans="1:9" x14ac:dyDescent="0.25">
      <c r="A9" s="110"/>
      <c r="B9" s="85"/>
      <c r="C9" s="85"/>
      <c r="D9" s="85"/>
      <c r="E9" s="85"/>
      <c r="F9" s="85"/>
      <c r="G9" s="85"/>
      <c r="H9" s="112"/>
      <c r="I9" s="65"/>
    </row>
    <row r="10" spans="1:9" ht="13" x14ac:dyDescent="0.3">
      <c r="A10" s="102" t="s">
        <v>203</v>
      </c>
      <c r="B10" s="64"/>
      <c r="C10" s="64"/>
      <c r="D10" s="64"/>
      <c r="E10" s="64"/>
      <c r="F10" s="64"/>
      <c r="G10" s="64"/>
      <c r="H10" s="111"/>
      <c r="I10" s="65"/>
    </row>
    <row r="11" spans="1:9" x14ac:dyDescent="0.25">
      <c r="A11" s="110" t="s">
        <v>204</v>
      </c>
      <c r="B11" s="64"/>
      <c r="C11" s="64">
        <f>'E-InvAT'!B6</f>
        <v>820570.32000000007</v>
      </c>
      <c r="D11" s="64">
        <f>'E-InvAT'!C6-'E-InvAT'!B6</f>
        <v>205142.57999999996</v>
      </c>
      <c r="E11" s="296">
        <f>'E-InvAT'!D6-'E-InvAT'!C6</f>
        <v>234287.09999999998</v>
      </c>
      <c r="F11" s="296">
        <f>'E-InvAT'!E6-'E-InvAT'!D6</f>
        <v>0</v>
      </c>
      <c r="G11" s="296">
        <f>'E-InvAT'!F6-'E-InvAT'!E6</f>
        <v>0</v>
      </c>
      <c r="H11" s="296">
        <f>'E-InvAT'!G6-'E-InvAT'!F6</f>
        <v>0</v>
      </c>
      <c r="I11" s="65">
        <f t="shared" ref="I11:I25" si="1">SUM(B11:H11)</f>
        <v>1260000</v>
      </c>
    </row>
    <row r="12" spans="1:9" x14ac:dyDescent="0.25">
      <c r="A12" s="110" t="s">
        <v>205</v>
      </c>
      <c r="B12" s="64"/>
      <c r="C12" s="64"/>
      <c r="D12" s="302">
        <f>'E-InvAT'!C7</f>
        <v>4215258.493150685</v>
      </c>
      <c r="E12" s="302">
        <f>'E-InvAT'!D7-'E-InvAT'!C7</f>
        <v>962823.69863013644</v>
      </c>
      <c r="F12" s="302">
        <f>'E-InvAT'!E7-'E-InvAT'!D7</f>
        <v>0</v>
      </c>
      <c r="G12" s="302">
        <f>'E-InvAT'!F7-'E-InvAT'!E7</f>
        <v>0</v>
      </c>
      <c r="H12" s="302">
        <f>'E-InvAT'!G7-'E-InvAT'!F7</f>
        <v>0</v>
      </c>
      <c r="I12" s="65">
        <f t="shared" si="1"/>
        <v>5178082.1917808214</v>
      </c>
    </row>
    <row r="13" spans="1:9" x14ac:dyDescent="0.25">
      <c r="A13" s="228" t="s">
        <v>206</v>
      </c>
      <c r="B13" s="64"/>
      <c r="C13" s="64"/>
      <c r="D13" s="64"/>
      <c r="E13" s="64"/>
      <c r="F13" s="64"/>
      <c r="G13" s="64"/>
      <c r="H13" s="111"/>
      <c r="I13" s="65"/>
    </row>
    <row r="14" spans="1:9" x14ac:dyDescent="0.25">
      <c r="A14" s="110" t="s">
        <v>207</v>
      </c>
      <c r="B14" s="64"/>
      <c r="C14" s="64">
        <f>'E-InvAT'!B10</f>
        <v>346824.18887999997</v>
      </c>
      <c r="D14" s="64">
        <f>'E-InvAT'!C10-'E-InvAT'!B10</f>
        <v>12873325.764779998</v>
      </c>
      <c r="E14" s="64">
        <f>'E-InvAT'!D10-'E-InvAT'!C10</f>
        <v>2373872.12634</v>
      </c>
      <c r="F14" s="64">
        <f>'E-InvAT'!E10-'E-InvAT'!D10</f>
        <v>0</v>
      </c>
      <c r="G14" s="64">
        <f>'E-InvAT'!F10-'E-InvAT'!E10</f>
        <v>0</v>
      </c>
      <c r="H14" s="64">
        <f>'E-InvAT'!G10-'E-InvAT'!F10</f>
        <v>0</v>
      </c>
      <c r="I14" s="65">
        <f t="shared" si="1"/>
        <v>15594022.079999998</v>
      </c>
    </row>
    <row r="15" spans="1:9" x14ac:dyDescent="0.25">
      <c r="A15" s="110" t="s">
        <v>208</v>
      </c>
      <c r="B15" s="64"/>
      <c r="C15" s="64">
        <f>'E-InvAT'!B11</f>
        <v>369879.79071999999</v>
      </c>
      <c r="D15" s="64">
        <f>'E-InvAT'!C11-'E-InvAT'!B11</f>
        <v>92469.947679999983</v>
      </c>
      <c r="E15" s="64">
        <f>'E-InvAT'!D11-'E-InvAT'!C11</f>
        <v>35046.183600000048</v>
      </c>
      <c r="F15" s="64">
        <f>'E-InvAT'!E11-'E-InvAT'!D11</f>
        <v>0</v>
      </c>
      <c r="G15" s="64">
        <f>'E-InvAT'!F11-'E-InvAT'!E11</f>
        <v>0</v>
      </c>
      <c r="H15" s="64">
        <f>'E-InvAT'!G11-'E-InvAT'!F11</f>
        <v>0</v>
      </c>
      <c r="I15" s="65">
        <f t="shared" si="1"/>
        <v>497395.92200000002</v>
      </c>
    </row>
    <row r="16" spans="1:9" x14ac:dyDescent="0.25">
      <c r="A16" s="110" t="s">
        <v>209</v>
      </c>
      <c r="B16" s="64"/>
      <c r="C16" s="64">
        <f>'E-InvAT'!B12</f>
        <v>0</v>
      </c>
      <c r="D16" s="302">
        <f>'E-InvAT'!C12-'E-InvAT'!B12</f>
        <v>386664.53247492545</v>
      </c>
      <c r="E16" s="302">
        <f>'E-InvAT'!D12-'E-InvAT'!C12</f>
        <v>-3681.8770473727491</v>
      </c>
      <c r="F16" s="302">
        <f>'E-InvAT'!E12-'E-InvAT'!D12</f>
        <v>0</v>
      </c>
      <c r="G16" s="302">
        <f>'E-InvAT'!F12-'E-InvAT'!E12</f>
        <v>-352.69371428567683</v>
      </c>
      <c r="H16" s="302">
        <f>'E-InvAT'!G12-'E-InvAT'!F12</f>
        <v>0</v>
      </c>
      <c r="I16" s="65">
        <f t="shared" si="1"/>
        <v>382629.96171326702</v>
      </c>
    </row>
    <row r="17" spans="1:9" x14ac:dyDescent="0.25">
      <c r="A17" s="110" t="s">
        <v>210</v>
      </c>
      <c r="B17" s="64"/>
      <c r="C17" s="296">
        <f>'E-InvAT'!B13</f>
        <v>0</v>
      </c>
      <c r="D17" s="302">
        <f>'E-InvAT'!C13-'E-InvAT'!B13</f>
        <v>257806.14270874026</v>
      </c>
      <c r="E17" s="302">
        <f>'E-InvAT'!D13-'E-InvAT'!C13</f>
        <v>-25124.301900270511</v>
      </c>
      <c r="F17" s="302">
        <f>'E-InvAT'!E13-'E-InvAT'!D13</f>
        <v>31.296480885095662</v>
      </c>
      <c r="G17" s="302">
        <f>'E-InvAT'!F13-'E-InvAT'!E13</f>
        <v>-400.804632670508</v>
      </c>
      <c r="H17" s="302">
        <f>'E-InvAT'!G13-'E-InvAT'!F13</f>
        <v>2.9979469562531449</v>
      </c>
      <c r="I17" s="65">
        <f t="shared" si="1"/>
        <v>232315.33060364058</v>
      </c>
    </row>
    <row r="18" spans="1:9" ht="13" x14ac:dyDescent="0.3">
      <c r="A18" s="102" t="s">
        <v>211</v>
      </c>
      <c r="B18" s="64">
        <v>0</v>
      </c>
      <c r="C18" s="64">
        <f t="shared" ref="C18:H18" si="2">SUM(C11:C17)</f>
        <v>1537274.2996</v>
      </c>
      <c r="D18" s="64">
        <f t="shared" si="2"/>
        <v>18030667.460794348</v>
      </c>
      <c r="E18" s="64">
        <f t="shared" si="2"/>
        <v>3577222.9296224937</v>
      </c>
      <c r="F18" s="64">
        <f>SUM(F11:F17)</f>
        <v>31.296480885095662</v>
      </c>
      <c r="G18" s="64">
        <f t="shared" si="2"/>
        <v>-753.49834695618483</v>
      </c>
      <c r="H18" s="64">
        <f t="shared" si="2"/>
        <v>2.9979469562531449</v>
      </c>
      <c r="I18" s="65">
        <f t="shared" si="1"/>
        <v>23144445.486097731</v>
      </c>
    </row>
    <row r="19" spans="1:9" x14ac:dyDescent="0.25">
      <c r="A19" s="110"/>
      <c r="B19" s="85"/>
      <c r="C19" s="85"/>
      <c r="D19" s="85"/>
      <c r="E19" s="85"/>
      <c r="F19" s="85"/>
      <c r="G19" s="85"/>
      <c r="H19" s="112"/>
      <c r="I19" s="65"/>
    </row>
    <row r="20" spans="1:9" ht="13" x14ac:dyDescent="0.3">
      <c r="A20" s="102" t="s">
        <v>212</v>
      </c>
      <c r="B20" s="85"/>
      <c r="C20" s="85"/>
      <c r="D20" s="85"/>
      <c r="E20" s="85"/>
      <c r="F20" s="85"/>
      <c r="G20" s="85"/>
      <c r="H20" s="112"/>
      <c r="I20" s="65"/>
    </row>
    <row r="21" spans="1:9" x14ac:dyDescent="0.25">
      <c r="A21" s="110" t="s">
        <v>213</v>
      </c>
      <c r="B21" s="64">
        <f>B8*InfoInicial!$B$3</f>
        <v>21000</v>
      </c>
      <c r="C21" s="296">
        <f>C8*InfoInicial!$B$3</f>
        <v>11372884.32</v>
      </c>
      <c r="D21" s="296">
        <f>D8*InfoInicial!$B$3</f>
        <v>31500</v>
      </c>
      <c r="E21" s="64">
        <f>E8*0.21</f>
        <v>0</v>
      </c>
      <c r="F21" s="64">
        <f>F8*0.21</f>
        <v>0</v>
      </c>
      <c r="G21" s="64">
        <f>G8*0.21</f>
        <v>0</v>
      </c>
      <c r="H21" s="64">
        <f>H8*0.21</f>
        <v>0</v>
      </c>
      <c r="I21" s="65">
        <f t="shared" si="1"/>
        <v>11425384.32</v>
      </c>
    </row>
    <row r="22" spans="1:9" x14ac:dyDescent="0.25">
      <c r="A22" s="110" t="s">
        <v>214</v>
      </c>
      <c r="B22" s="64">
        <f>B18*InfoInicial!$B$3</f>
        <v>0</v>
      </c>
      <c r="C22" s="296">
        <f>C18*InfoInicial!$B$3</f>
        <v>322827.602916</v>
      </c>
      <c r="D22" s="296">
        <f>D18*InfoInicial!$B$3</f>
        <v>3786440.166766813</v>
      </c>
      <c r="E22" s="296">
        <f>E18*InfoInicial!$B$3</f>
        <v>751216.81522072363</v>
      </c>
      <c r="F22" s="296">
        <f>F18*InfoInicial!$B$3</f>
        <v>6.5722609858700887</v>
      </c>
      <c r="G22" s="296">
        <f>G18*InfoInicial!$B$3</f>
        <v>-158.2346528607988</v>
      </c>
      <c r="H22" s="296">
        <f>H18*InfoInicial!$B$3</f>
        <v>0.62956886081316044</v>
      </c>
      <c r="I22" s="65">
        <f t="shared" si="1"/>
        <v>4860333.5520805223</v>
      </c>
    </row>
    <row r="23" spans="1:9" ht="13" x14ac:dyDescent="0.3">
      <c r="A23" s="102" t="s">
        <v>215</v>
      </c>
      <c r="B23" s="64">
        <f>SUM(B21:B22)</f>
        <v>21000</v>
      </c>
      <c r="C23" s="64">
        <f t="shared" ref="C23:H23" si="3">SUM(C21:C22)</f>
        <v>11695711.922916001</v>
      </c>
      <c r="D23" s="64">
        <f>SUM(D21:D22)</f>
        <v>3817940.166766813</v>
      </c>
      <c r="E23" s="64">
        <f t="shared" si="3"/>
        <v>751216.81522072363</v>
      </c>
      <c r="F23" s="64">
        <f t="shared" si="3"/>
        <v>6.5722609858700887</v>
      </c>
      <c r="G23" s="64">
        <f t="shared" si="3"/>
        <v>-158.2346528607988</v>
      </c>
      <c r="H23" s="64">
        <f t="shared" si="3"/>
        <v>0.62956886081316044</v>
      </c>
      <c r="I23" s="65">
        <f t="shared" si="1"/>
        <v>16285717.872080522</v>
      </c>
    </row>
    <row r="24" spans="1:9" ht="13" x14ac:dyDescent="0.3">
      <c r="A24" s="102"/>
      <c r="B24" s="85"/>
      <c r="C24" s="85"/>
      <c r="D24" s="85"/>
      <c r="E24" s="85"/>
      <c r="F24" s="85"/>
      <c r="G24" s="85"/>
      <c r="H24" s="112"/>
      <c r="I24" s="65"/>
    </row>
    <row r="25" spans="1:9" ht="13.5" thickBot="1" x14ac:dyDescent="0.35">
      <c r="A25" s="305" t="s">
        <v>216</v>
      </c>
      <c r="B25" s="306">
        <f>B8+B18+B23</f>
        <v>121000</v>
      </c>
      <c r="C25" s="306">
        <f t="shared" ref="C25:H25" si="4">C8+C18+C23</f>
        <v>67389578.222516</v>
      </c>
      <c r="D25" s="306">
        <f t="shared" si="4"/>
        <v>21998607.627561159</v>
      </c>
      <c r="E25" s="306">
        <f t="shared" si="4"/>
        <v>4328439.7448432175</v>
      </c>
      <c r="F25" s="306">
        <f t="shared" si="4"/>
        <v>37.868741870965749</v>
      </c>
      <c r="G25" s="306">
        <f t="shared" si="4"/>
        <v>-911.73299981698369</v>
      </c>
      <c r="H25" s="306">
        <f t="shared" si="4"/>
        <v>3.6275158170663051</v>
      </c>
      <c r="I25" s="307">
        <f t="shared" si="1"/>
        <v>93836755.358178243</v>
      </c>
    </row>
    <row r="26" spans="1:9" ht="13" thickTop="1" x14ac:dyDescent="0.25"/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workbookViewId="0">
      <selection activeCell="B24" sqref="B24"/>
    </sheetView>
  </sheetViews>
  <sheetFormatPr baseColWidth="10" defaultRowHeight="12.5" x14ac:dyDescent="0.25"/>
  <cols>
    <col min="1" max="1" width="48.1796875" customWidth="1"/>
    <col min="2" max="2" width="13.81640625" bestFit="1" customWidth="1"/>
    <col min="3" max="7" width="14.81640625" bestFit="1" customWidth="1"/>
  </cols>
  <sheetData>
    <row r="1" spans="1:8" ht="13" x14ac:dyDescent="0.3">
      <c r="A1" s="1" t="s">
        <v>0</v>
      </c>
      <c r="E1" s="2">
        <f>InfoInicial!E1</f>
        <v>2</v>
      </c>
      <c r="F1" s="15"/>
      <c r="G1" s="15"/>
      <c r="H1" s="15"/>
    </row>
    <row r="2" spans="1:8" ht="13.5" thickBot="1" x14ac:dyDescent="0.35">
      <c r="A2" s="1"/>
      <c r="E2" s="101"/>
      <c r="F2" s="15"/>
      <c r="G2" s="15"/>
      <c r="H2" s="15"/>
    </row>
    <row r="3" spans="1:8" ht="16" thickTop="1" x14ac:dyDescent="0.35">
      <c r="A3" s="56" t="s">
        <v>168</v>
      </c>
      <c r="B3" s="57"/>
      <c r="C3" s="57"/>
      <c r="D3" s="57"/>
      <c r="E3" s="57"/>
      <c r="F3" s="57"/>
      <c r="G3" s="58"/>
      <c r="H3" s="15"/>
    </row>
    <row r="4" spans="1:8" ht="13.5" thickBot="1" x14ac:dyDescent="0.35">
      <c r="A4" s="59" t="s">
        <v>94</v>
      </c>
      <c r="B4" s="20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  <c r="H4" s="15"/>
    </row>
    <row r="5" spans="1:8" ht="13.5" thickTop="1" x14ac:dyDescent="0.3">
      <c r="A5" s="102" t="s">
        <v>169</v>
      </c>
      <c r="B5" s="103"/>
      <c r="C5" s="103"/>
      <c r="D5" s="103"/>
      <c r="E5" s="103"/>
      <c r="F5" s="103"/>
      <c r="G5" s="104"/>
      <c r="H5" s="15"/>
    </row>
    <row r="6" spans="1:8" ht="13" x14ac:dyDescent="0.3">
      <c r="A6" s="102" t="s">
        <v>170</v>
      </c>
      <c r="B6" s="64">
        <f>C6*0.8</f>
        <v>820570.32000000007</v>
      </c>
      <c r="C6" s="64">
        <f>0.02*'E-Costos'!B88</f>
        <v>1025712.9</v>
      </c>
      <c r="D6" s="64">
        <f>0.02*'E-Costos'!C88</f>
        <v>1260000</v>
      </c>
      <c r="E6" s="64">
        <f>0.02*'E-Costos'!D88</f>
        <v>1260000</v>
      </c>
      <c r="F6" s="64">
        <f>0.02*'E-Costos'!E88</f>
        <v>1260000</v>
      </c>
      <c r="G6" s="64">
        <f>0.02*'E-Costos'!F88</f>
        <v>1260000</v>
      </c>
      <c r="H6" s="15"/>
    </row>
    <row r="7" spans="1:8" ht="13" x14ac:dyDescent="0.3">
      <c r="A7" s="102" t="s">
        <v>171</v>
      </c>
      <c r="B7" s="64">
        <v>0</v>
      </c>
      <c r="C7" s="64">
        <f>'E-Costos'!B88*(30/365)</f>
        <v>4215258.493150685</v>
      </c>
      <c r="D7" s="64">
        <f>'E-Costos'!C88*(30/365)</f>
        <v>5178082.1917808214</v>
      </c>
      <c r="E7" s="64">
        <f>'E-Costos'!D88*(30/365)</f>
        <v>5178082.1917808214</v>
      </c>
      <c r="F7" s="64">
        <f>'E-Costos'!E88*(30/365)</f>
        <v>5178082.1917808214</v>
      </c>
      <c r="G7" s="64">
        <f>'E-Costos'!F88*(30/365)</f>
        <v>5178082.1917808214</v>
      </c>
      <c r="H7" s="15"/>
    </row>
    <row r="8" spans="1:8" x14ac:dyDescent="0.25">
      <c r="A8" s="105"/>
      <c r="B8" s="85"/>
      <c r="C8" s="85"/>
      <c r="D8" s="85"/>
      <c r="E8" s="85"/>
      <c r="F8" s="85"/>
      <c r="G8" s="86"/>
      <c r="H8" s="15"/>
    </row>
    <row r="9" spans="1:8" ht="13" x14ac:dyDescent="0.3">
      <c r="A9" s="102" t="s">
        <v>172</v>
      </c>
      <c r="B9" s="85">
        <f t="shared" ref="B9:G9" si="0">SUM(B10:B13)</f>
        <v>716703.97959999996</v>
      </c>
      <c r="C9" s="85">
        <f t="shared" si="0"/>
        <v>14326970.367243664</v>
      </c>
      <c r="D9" s="85">
        <f t="shared" si="0"/>
        <v>16707082.498236021</v>
      </c>
      <c r="E9" s="85">
        <f t="shared" si="0"/>
        <v>16707113.794716906</v>
      </c>
      <c r="F9" s="85">
        <f t="shared" si="0"/>
        <v>16706360.296369951</v>
      </c>
      <c r="G9" s="85">
        <f t="shared" si="0"/>
        <v>16706363.294316906</v>
      </c>
      <c r="H9" s="15"/>
    </row>
    <row r="10" spans="1:8" x14ac:dyDescent="0.25">
      <c r="A10" s="105" t="s">
        <v>173</v>
      </c>
      <c r="B10" s="268">
        <f>'E-Costos'!G25</f>
        <v>346824.18887999997</v>
      </c>
      <c r="C10" s="268">
        <f>'E-Costos'!B7</f>
        <v>13220149.953659998</v>
      </c>
      <c r="D10" s="268">
        <f>'E-Costos'!C7</f>
        <v>15594022.079999998</v>
      </c>
      <c r="E10" s="268">
        <f>'E-Costos'!D7</f>
        <v>15594022.079999998</v>
      </c>
      <c r="F10" s="268">
        <f>'E-Costos'!E7</f>
        <v>15594022.079999998</v>
      </c>
      <c r="G10" s="268">
        <f>'E-Costos'!F7</f>
        <v>15594022.079999998</v>
      </c>
      <c r="H10" s="15"/>
    </row>
    <row r="11" spans="1:8" x14ac:dyDescent="0.25">
      <c r="A11" s="105" t="s">
        <v>174</v>
      </c>
      <c r="B11" s="64">
        <f>0.8*C11</f>
        <v>369879.79071999999</v>
      </c>
      <c r="C11" s="64">
        <f>('E-Costos'!B12*(6/12))+('E-Costos'!B54*(1/12))+('E-Costos'!B71*(1/12))</f>
        <v>462349.73839999997</v>
      </c>
      <c r="D11" s="64">
        <f>('E-Costos'!C12*(6/12))+('E-Costos'!C54*(1/12))+('E-Costos'!C71*(1/12))</f>
        <v>497395.92200000002</v>
      </c>
      <c r="E11" s="64">
        <f>('E-Costos'!D12*(6/12))+('E-Costos'!D54*(1/12))+('E-Costos'!D71*(1/12))</f>
        <v>497395.92200000002</v>
      </c>
      <c r="F11" s="64">
        <f>('E-Costos'!E12*(6/12))+('E-Costos'!E54*(1/12))+('E-Costos'!E71*(1/12))</f>
        <v>497395.92200000002</v>
      </c>
      <c r="G11" s="64">
        <f>('E-Costos'!F12*(6/12))+('E-Costos'!F54*(1/12))+('E-Costos'!F71*(1/12))</f>
        <v>497395.92200000002</v>
      </c>
      <c r="H11" s="15"/>
    </row>
    <row r="12" spans="1:8" x14ac:dyDescent="0.25">
      <c r="A12" s="105" t="s">
        <v>175</v>
      </c>
      <c r="B12" s="64">
        <v>0</v>
      </c>
      <c r="C12" s="64">
        <f>'E-Costos'!B42</f>
        <v>386664.53247492545</v>
      </c>
      <c r="D12" s="64">
        <f>'E-Costos'!C42</f>
        <v>382982.6554275527</v>
      </c>
      <c r="E12" s="64">
        <f>'E-Costos'!D42</f>
        <v>382982.6554275527</v>
      </c>
      <c r="F12" s="64">
        <f>'E-Costos'!E42</f>
        <v>382629.96171326702</v>
      </c>
      <c r="G12" s="64">
        <f>'E-Costos'!F42</f>
        <v>382629.96171326702</v>
      </c>
      <c r="H12" s="15"/>
    </row>
    <row r="13" spans="1:8" x14ac:dyDescent="0.25">
      <c r="A13" s="105" t="s">
        <v>176</v>
      </c>
      <c r="B13" s="64">
        <v>0</v>
      </c>
      <c r="C13" s="64">
        <f>'Aux E-InvAT'!$K$34*'E-Costos'!B102</f>
        <v>257806.14270874026</v>
      </c>
      <c r="D13" s="296">
        <f>'Aux E-InvAT'!$K$34*'E-Costos'!C102</f>
        <v>232681.84080846974</v>
      </c>
      <c r="E13" s="296">
        <f>'Aux E-InvAT'!$K$34*'E-Costos'!D102</f>
        <v>232713.13728935484</v>
      </c>
      <c r="F13" s="296">
        <f>'Aux E-InvAT'!$K$34*'E-Costos'!E102</f>
        <v>232312.33265668433</v>
      </c>
      <c r="G13" s="296">
        <f>'Aux E-InvAT'!$K$34*'E-Costos'!F102</f>
        <v>232315.33060364058</v>
      </c>
      <c r="H13" s="15"/>
    </row>
    <row r="14" spans="1:8" x14ac:dyDescent="0.25">
      <c r="A14" s="105"/>
      <c r="B14" s="85"/>
      <c r="C14" s="85"/>
      <c r="D14" s="85"/>
      <c r="E14" s="85"/>
      <c r="F14" s="85"/>
      <c r="G14" s="86"/>
      <c r="H14" s="15"/>
    </row>
    <row r="15" spans="1:8" ht="13" x14ac:dyDescent="0.3">
      <c r="A15" s="102" t="s">
        <v>177</v>
      </c>
      <c r="B15" s="64">
        <f t="shared" ref="B15:G15" si="1">B6+B7+B9</f>
        <v>1537274.2996</v>
      </c>
      <c r="C15" s="226">
        <f t="shared" si="1"/>
        <v>19567941.76039435</v>
      </c>
      <c r="D15" s="64">
        <f t="shared" si="1"/>
        <v>23145164.690016843</v>
      </c>
      <c r="E15" s="64">
        <f t="shared" si="1"/>
        <v>23145195.986497726</v>
      </c>
      <c r="F15" s="64">
        <f t="shared" si="1"/>
        <v>23144442.488150772</v>
      </c>
      <c r="G15" s="64">
        <f t="shared" si="1"/>
        <v>23144445.486097727</v>
      </c>
      <c r="H15" s="15"/>
    </row>
    <row r="16" spans="1:8" ht="13" x14ac:dyDescent="0.3">
      <c r="A16" s="102" t="s">
        <v>178</v>
      </c>
      <c r="B16" s="85"/>
      <c r="C16" s="85"/>
      <c r="D16" s="85"/>
      <c r="E16" s="85"/>
      <c r="F16" s="85"/>
      <c r="G16" s="86"/>
      <c r="H16" s="15"/>
    </row>
    <row r="17" spans="1:8" x14ac:dyDescent="0.25">
      <c r="A17" s="105" t="s">
        <v>179</v>
      </c>
      <c r="B17" s="64">
        <v>0</v>
      </c>
      <c r="C17" s="64">
        <f>'E-Costos'!B28</f>
        <v>16449.667142392333</v>
      </c>
      <c r="D17" s="64">
        <f>'E-Costos'!C28</f>
        <v>13445.813008457142</v>
      </c>
      <c r="E17" s="64">
        <f>'E-Costos'!D28</f>
        <v>13445.813008457142</v>
      </c>
      <c r="F17" s="64">
        <f>'E-Costos'!E28</f>
        <v>13106.684437028571</v>
      </c>
      <c r="G17" s="64">
        <f>'E-Costos'!F28</f>
        <v>13106.684437028571</v>
      </c>
      <c r="H17" s="15"/>
    </row>
    <row r="18" spans="1:8" x14ac:dyDescent="0.25">
      <c r="A18" s="105" t="s">
        <v>180</v>
      </c>
      <c r="B18" s="64">
        <v>0</v>
      </c>
      <c r="C18" s="64">
        <f>('E-Costos'!B11-'E-InvAT'!C17+'E-InvAT'!B17)/'Aux E-InvAT'!$M$11*'Aux E-InvAT'!$M$13</f>
        <v>32596.183272551629</v>
      </c>
      <c r="D18" s="296">
        <f>('E-Costos'!C11-'E-InvAT'!D17+'E-InvAT'!C17)/'Aux E-InvAT'!$N$11*'Aux E-InvAT'!$N$13</f>
        <v>26937.049256511484</v>
      </c>
      <c r="E18" s="296">
        <f>('E-Costos'!D11-'E-InvAT'!E17+'E-InvAT'!D17)/'Aux E-InvAT'!$N$11*'Aux E-InvAT'!$N$13</f>
        <v>26891.773773913043</v>
      </c>
      <c r="F18" s="296">
        <f>('E-Costos'!E11-'E-InvAT'!F17+'E-InvAT'!E17)/'Aux E-InvAT'!$N$11*'Aux E-InvAT'!$N$13</f>
        <v>26218.624407453415</v>
      </c>
      <c r="G18" s="296">
        <f>('E-Costos'!F11-'E-InvAT'!G17+'E-InvAT'!F17)/'Aux E-InvAT'!$N$11*'Aux E-InvAT'!$N$13</f>
        <v>26213.512904347823</v>
      </c>
      <c r="H18" s="15"/>
    </row>
    <row r="19" spans="1:8" x14ac:dyDescent="0.25">
      <c r="A19" s="105" t="s">
        <v>181</v>
      </c>
      <c r="B19" s="64">
        <v>0</v>
      </c>
      <c r="C19" s="313">
        <f>C7*'E-Costos'!B121</f>
        <v>556361.59689217608</v>
      </c>
      <c r="D19" s="226">
        <f>D7*'E-Costos'!C121</f>
        <v>949016.33579812653</v>
      </c>
      <c r="E19" s="226">
        <f>E7*'E-Costos'!D121</f>
        <v>950004.71530061297</v>
      </c>
      <c r="F19" s="226">
        <f>F7*'E-Costos'!E121</f>
        <v>952394.485042235</v>
      </c>
      <c r="G19" s="226">
        <f>G7*'E-Costos'!F121</f>
        <v>952396.83745028416</v>
      </c>
      <c r="H19" s="15"/>
    </row>
    <row r="20" spans="1:8" x14ac:dyDescent="0.25">
      <c r="A20" s="105" t="s">
        <v>182</v>
      </c>
      <c r="B20" s="64">
        <v>0</v>
      </c>
      <c r="C20" s="64">
        <f>('E-Inv AF y Am'!$D$56-'E-InvAT'!C17-'E-InvAT'!C18+'E-InvAT'!B17+'E-InvAT'!B18)/365*30</f>
        <v>158906.34654123746</v>
      </c>
      <c r="D20" s="296">
        <f>('E-Inv AF y Am'!$D$56-'E-InvAT'!D17-'E-InvAT'!D18+'E-InvAT'!C17+'E-InvAT'!C18)/365*30</f>
        <v>163649.53875205279</v>
      </c>
      <c r="E20" s="296">
        <f>('E-Inv AF y Am'!$D$56-'E-InvAT'!E17-'E-InvAT'!E18+'E-InvAT'!D17+'E-InvAT'!D18)/365*30</f>
        <v>162941.23360130948</v>
      </c>
      <c r="F20" s="296">
        <f>('E-Inv AF y Am'!$D$56-'E-InvAT'!F17-'E-InvAT'!F18+'E-InvAT'!E17+'E-InvAT'!E18)/365*30</f>
        <v>163020.71325516887</v>
      </c>
      <c r="G20" s="296">
        <f>('E-Inv AF y Am'!$D$56-'E-InvAT'!G17-'E-InvAT'!G18+'E-InvAT'!F17+'E-InvAT'!F18)/365*30</f>
        <v>162937.93245231002</v>
      </c>
      <c r="H20" s="15"/>
    </row>
    <row r="21" spans="1:8" x14ac:dyDescent="0.25">
      <c r="A21" s="105"/>
      <c r="B21" s="85"/>
      <c r="C21" s="85"/>
      <c r="D21" s="85"/>
      <c r="E21" s="85"/>
      <c r="F21" s="85"/>
      <c r="G21" s="86"/>
      <c r="H21" s="15"/>
    </row>
    <row r="22" spans="1:8" ht="13" x14ac:dyDescent="0.3">
      <c r="A22" s="102" t="s">
        <v>183</v>
      </c>
      <c r="B22" s="64">
        <f t="shared" ref="B22:G22" si="2">B15-SUM(B17:B20)</f>
        <v>1537274.2996</v>
      </c>
      <c r="C22" s="64">
        <f t="shared" si="2"/>
        <v>18803627.966545992</v>
      </c>
      <c r="D22" s="64">
        <f t="shared" si="2"/>
        <v>21992115.953201696</v>
      </c>
      <c r="E22" s="64">
        <f t="shared" si="2"/>
        <v>21991912.450813435</v>
      </c>
      <c r="F22" s="64">
        <f t="shared" si="2"/>
        <v>21989701.981008887</v>
      </c>
      <c r="G22" s="64">
        <f t="shared" si="2"/>
        <v>21989790.518853758</v>
      </c>
      <c r="H22" s="15"/>
    </row>
    <row r="23" spans="1:8" x14ac:dyDescent="0.25">
      <c r="A23" s="105"/>
      <c r="B23" s="85"/>
      <c r="C23" s="85"/>
      <c r="D23" s="85"/>
      <c r="E23" s="85"/>
      <c r="F23" s="85"/>
      <c r="G23" s="86"/>
      <c r="H23" s="15"/>
    </row>
    <row r="24" spans="1:8" ht="13" x14ac:dyDescent="0.3">
      <c r="A24" s="102" t="s">
        <v>184</v>
      </c>
      <c r="B24" s="230">
        <f>B15</f>
        <v>1537274.2996</v>
      </c>
      <c r="C24" s="230">
        <f>C15-B15</f>
        <v>18030667.460794348</v>
      </c>
      <c r="D24" s="230">
        <f>D15-C15</f>
        <v>3577222.9296224937</v>
      </c>
      <c r="E24" s="230">
        <f>E15-D15</f>
        <v>31.296480882912874</v>
      </c>
      <c r="F24" s="230">
        <f>F15-E15</f>
        <v>-753.49834695458412</v>
      </c>
      <c r="G24" s="230">
        <f>G15-F15</f>
        <v>2.9979469552636147</v>
      </c>
      <c r="H24" s="15"/>
    </row>
    <row r="25" spans="1:8" ht="13" x14ac:dyDescent="0.3">
      <c r="A25" s="102" t="s">
        <v>185</v>
      </c>
      <c r="B25" s="230">
        <f>B22</f>
        <v>1537274.2996</v>
      </c>
      <c r="C25" s="230">
        <f>C22-B22</f>
        <v>17266353.66694599</v>
      </c>
      <c r="D25" s="230">
        <f>D22-C22</f>
        <v>3188487.9866557047</v>
      </c>
      <c r="E25" s="230">
        <f>E22-D22</f>
        <v>-203.5023882612586</v>
      </c>
      <c r="F25" s="230">
        <f>F22-E22</f>
        <v>-2210.4698045477271</v>
      </c>
      <c r="G25" s="230">
        <f>G22-F22</f>
        <v>88.537844870239496</v>
      </c>
      <c r="H25" s="15"/>
    </row>
    <row r="26" spans="1:8" x14ac:dyDescent="0.25">
      <c r="A26" s="105"/>
      <c r="B26" s="85"/>
      <c r="C26" s="85"/>
      <c r="D26" s="85"/>
      <c r="E26" s="85"/>
      <c r="F26" s="85"/>
      <c r="G26" s="86"/>
      <c r="H26" s="15"/>
    </row>
    <row r="27" spans="1:8" ht="13" x14ac:dyDescent="0.3">
      <c r="A27" s="102" t="s">
        <v>186</v>
      </c>
      <c r="B27" s="85"/>
      <c r="C27" s="85"/>
      <c r="D27" s="85"/>
      <c r="E27" s="85"/>
      <c r="F27" s="85"/>
      <c r="G27" s="86"/>
      <c r="H27" s="15"/>
    </row>
    <row r="28" spans="1:8" x14ac:dyDescent="0.25">
      <c r="A28" s="105" t="s">
        <v>187</v>
      </c>
      <c r="B28" s="64"/>
      <c r="C28" s="64"/>
      <c r="D28" s="64"/>
      <c r="E28" s="64"/>
      <c r="F28" s="64"/>
      <c r="G28" s="65"/>
      <c r="H28" s="15"/>
    </row>
    <row r="29" spans="1:8" x14ac:dyDescent="0.25">
      <c r="A29" s="105" t="s">
        <v>188</v>
      </c>
      <c r="B29" s="64"/>
      <c r="C29" s="64"/>
      <c r="D29" s="64"/>
      <c r="E29" s="64"/>
      <c r="F29" s="64"/>
      <c r="G29" s="65"/>
      <c r="H29" s="15"/>
    </row>
    <row r="30" spans="1:8" x14ac:dyDescent="0.25">
      <c r="A30" s="105" t="s">
        <v>189</v>
      </c>
      <c r="B30" s="230">
        <f>0.21*B10</f>
        <v>72833.079664799996</v>
      </c>
      <c r="C30" s="230">
        <f t="shared" ref="C30:G31" si="3">(0.21*C10-0.21*B10)</f>
        <v>2703398.4106037999</v>
      </c>
      <c r="D30" s="230">
        <f t="shared" si="3"/>
        <v>498513.14653139981</v>
      </c>
      <c r="E30" s="230">
        <f t="shared" si="3"/>
        <v>0</v>
      </c>
      <c r="F30" s="230">
        <f t="shared" si="3"/>
        <v>0</v>
      </c>
      <c r="G30" s="230">
        <f t="shared" si="3"/>
        <v>0</v>
      </c>
      <c r="H30" s="15"/>
    </row>
    <row r="31" spans="1:8" x14ac:dyDescent="0.25">
      <c r="A31" s="105" t="s">
        <v>190</v>
      </c>
      <c r="B31" s="230">
        <f>0.21*B11</f>
        <v>77674.756051199991</v>
      </c>
      <c r="C31" s="230">
        <f t="shared" si="3"/>
        <v>19418.689012799994</v>
      </c>
      <c r="D31" s="230">
        <f t="shared" si="3"/>
        <v>7359.6985560000176</v>
      </c>
      <c r="E31" s="230">
        <f t="shared" si="3"/>
        <v>0</v>
      </c>
      <c r="F31" s="230">
        <f t="shared" si="3"/>
        <v>0</v>
      </c>
      <c r="G31" s="230">
        <f t="shared" si="3"/>
        <v>0</v>
      </c>
      <c r="H31" s="15"/>
    </row>
    <row r="32" spans="1:8" x14ac:dyDescent="0.25">
      <c r="A32" s="105" t="s">
        <v>191</v>
      </c>
      <c r="B32" s="338">
        <f>0.21*B12</f>
        <v>0</v>
      </c>
      <c r="C32" s="338">
        <f>('E-Costos'!B25+'E-Costos'!B30+'E-Costos'!B31+'E-Costos'!B32)*InfoInicial!$B$3</f>
        <v>49440.494779856403</v>
      </c>
      <c r="D32" s="338">
        <f>(('E-Costos'!C25+'E-Costos'!C30+'E-Costos'!C31+'E-Costos'!C32)-('E-Costos'!B25+'E-Costos'!B30+'E-Costos'!B31+'E-Costos'!B32))*InfoInicial!$B$3</f>
        <v>-8.89684205903235</v>
      </c>
      <c r="E32" s="338">
        <f>(('E-Costos'!D25+'E-Costos'!D30+'E-Costos'!D31+'E-Costos'!D32)-('E-Costos'!C25+'E-Costos'!C30+'E-Costos'!C31+'E-Costos'!C32))*InfoInicial!$B$3</f>
        <v>0</v>
      </c>
      <c r="F32" s="338">
        <f>(('E-Costos'!E25+'E-Costos'!E30+'E-Costos'!E31+'E-Costos'!E32)-('E-Costos'!D25+'E-Costos'!D30+'E-Costos'!D31+'E-Costos'!D32))*InfoInicial!$B$3</f>
        <v>0</v>
      </c>
      <c r="G32" s="338">
        <f>(('E-Costos'!F25+'E-Costos'!F30+'E-Costos'!F31+'E-Costos'!F32)-('E-Costos'!E25+'E-Costos'!E30+'E-Costos'!E31+'E-Costos'!E32))*InfoInicial!$B$3</f>
        <v>0</v>
      </c>
      <c r="H32" s="15"/>
    </row>
    <row r="33" spans="1:8" x14ac:dyDescent="0.25">
      <c r="A33" s="105" t="s">
        <v>192</v>
      </c>
      <c r="B33" s="338">
        <f>0.21*B13</f>
        <v>0</v>
      </c>
      <c r="C33" s="338">
        <f>'Aux E-InvAT'!K25</f>
        <v>11263.926418182087</v>
      </c>
      <c r="D33" s="338">
        <f>'Aux E-InvAT'!L25</f>
        <v>2261.0510663808345</v>
      </c>
      <c r="E33" s="338">
        <f>'Aux E-InvAT'!M25</f>
        <v>0</v>
      </c>
      <c r="F33" s="338">
        <f>'Aux E-InvAT'!N25</f>
        <v>0</v>
      </c>
      <c r="G33" s="338">
        <f>'Aux E-InvAT'!O25</f>
        <v>0</v>
      </c>
      <c r="H33" s="15"/>
    </row>
    <row r="34" spans="1:8" ht="13" x14ac:dyDescent="0.3">
      <c r="A34" s="102" t="s">
        <v>193</v>
      </c>
      <c r="B34" s="339">
        <f t="shared" ref="B34:G34" si="4">SUM(B30:B33)</f>
        <v>150507.835716</v>
      </c>
      <c r="C34" s="339">
        <f t="shared" si="4"/>
        <v>2783521.5208146381</v>
      </c>
      <c r="D34" s="339">
        <f t="shared" si="4"/>
        <v>508124.99931172159</v>
      </c>
      <c r="E34" s="339">
        <f t="shared" si="4"/>
        <v>0</v>
      </c>
      <c r="F34" s="339">
        <f t="shared" si="4"/>
        <v>0</v>
      </c>
      <c r="G34" s="339">
        <f t="shared" si="4"/>
        <v>0</v>
      </c>
      <c r="H34" s="15"/>
    </row>
    <row r="35" spans="1:8" x14ac:dyDescent="0.25">
      <c r="A35" s="105"/>
      <c r="B35" s="67"/>
      <c r="C35" s="67"/>
      <c r="D35" s="67"/>
      <c r="E35" s="67"/>
      <c r="F35" s="67"/>
      <c r="G35" s="68"/>
      <c r="H35" s="15"/>
    </row>
    <row r="36" spans="1:8" ht="13.5" thickBot="1" x14ac:dyDescent="0.35">
      <c r="A36" s="106" t="s">
        <v>194</v>
      </c>
      <c r="B36" s="70">
        <f t="shared" ref="B36:G36" si="5">B25+B34</f>
        <v>1687782.1353160001</v>
      </c>
      <c r="C36" s="70">
        <f t="shared" si="5"/>
        <v>20049875.187760629</v>
      </c>
      <c r="D36" s="70">
        <f t="shared" si="5"/>
        <v>3696612.9859674261</v>
      </c>
      <c r="E36" s="70">
        <f t="shared" si="5"/>
        <v>-203.5023882612586</v>
      </c>
      <c r="F36" s="70">
        <f t="shared" si="5"/>
        <v>-2210.4698045477271</v>
      </c>
      <c r="G36" s="70">
        <f t="shared" si="5"/>
        <v>88.537844870239496</v>
      </c>
      <c r="H36" s="15"/>
    </row>
    <row r="37" spans="1:8" ht="13" thickTop="1" x14ac:dyDescent="0.25">
      <c r="A37" s="15"/>
      <c r="B37" s="15"/>
      <c r="C37" s="15"/>
      <c r="D37" s="15"/>
      <c r="E37" s="15"/>
      <c r="F37" s="15"/>
      <c r="G37" s="15"/>
      <c r="H3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8:O34"/>
  <sheetViews>
    <sheetView zoomScale="90" zoomScaleNormal="90" workbookViewId="0">
      <selection activeCell="O23" sqref="O23"/>
    </sheetView>
  </sheetViews>
  <sheetFormatPr baseColWidth="10" defaultColWidth="11.26953125" defaultRowHeight="12.5" x14ac:dyDescent="0.25"/>
  <cols>
    <col min="1" max="9" width="2.453125" style="15" customWidth="1"/>
    <col min="10" max="10" width="11.26953125" style="15"/>
    <col min="11" max="11" width="12.453125" style="15" bestFit="1" customWidth="1"/>
    <col min="12" max="16384" width="11.26953125" style="15"/>
  </cols>
  <sheetData>
    <row r="8" spans="9:14" x14ac:dyDescent="0.25">
      <c r="K8" s="15" t="s">
        <v>599</v>
      </c>
      <c r="L8" s="15" t="s">
        <v>600</v>
      </c>
      <c r="M8" s="15" t="s">
        <v>573</v>
      </c>
      <c r="N8" s="15" t="s">
        <v>601</v>
      </c>
    </row>
    <row r="9" spans="9:14" x14ac:dyDescent="0.25">
      <c r="J9" s="15" t="s">
        <v>602</v>
      </c>
      <c r="K9" s="15" t="s">
        <v>603</v>
      </c>
      <c r="L9" s="324"/>
      <c r="M9" s="324">
        <v>34190.434782608696</v>
      </c>
      <c r="N9" s="324">
        <v>42000</v>
      </c>
    </row>
    <row r="10" spans="9:14" x14ac:dyDescent="0.25">
      <c r="I10" s="295"/>
      <c r="J10" s="15" t="s">
        <v>604</v>
      </c>
      <c r="K10" s="15" t="s">
        <v>603</v>
      </c>
      <c r="L10" s="324"/>
      <c r="M10" s="324">
        <v>140</v>
      </c>
      <c r="N10" s="324">
        <v>140</v>
      </c>
    </row>
    <row r="11" spans="9:14" x14ac:dyDescent="0.25">
      <c r="I11" s="295"/>
      <c r="J11" s="15" t="s">
        <v>605</v>
      </c>
      <c r="K11" s="15" t="s">
        <v>603</v>
      </c>
      <c r="L11" s="324"/>
      <c r="M11" s="324">
        <v>34330.434782608696</v>
      </c>
      <c r="N11" s="324">
        <v>42000</v>
      </c>
    </row>
    <row r="12" spans="9:14" x14ac:dyDescent="0.25">
      <c r="I12" s="295"/>
      <c r="J12" s="15" t="s">
        <v>606</v>
      </c>
      <c r="K12" s="15" t="s">
        <v>607</v>
      </c>
      <c r="L12" s="324"/>
      <c r="M12" s="324">
        <v>2067.1304347826081</v>
      </c>
      <c r="N12" s="324">
        <v>1680</v>
      </c>
    </row>
    <row r="13" spans="9:14" x14ac:dyDescent="0.25">
      <c r="I13" s="295"/>
      <c r="J13" s="15" t="s">
        <v>608</v>
      </c>
      <c r="K13" s="15" t="s">
        <v>607</v>
      </c>
      <c r="L13" s="324"/>
      <c r="M13" s="324">
        <v>633.04347826086951</v>
      </c>
      <c r="N13" s="324">
        <v>633.04347826086951</v>
      </c>
    </row>
    <row r="14" spans="9:14" x14ac:dyDescent="0.25">
      <c r="I14" s="295"/>
      <c r="J14" s="15" t="s">
        <v>609</v>
      </c>
      <c r="K14" s="15" t="s">
        <v>607</v>
      </c>
      <c r="L14" s="324"/>
      <c r="M14" s="324">
        <v>37030.608695652176</v>
      </c>
      <c r="N14" s="324">
        <v>43680</v>
      </c>
    </row>
    <row r="15" spans="9:14" x14ac:dyDescent="0.25">
      <c r="I15" s="295"/>
      <c r="J15" s="15" t="s">
        <v>610</v>
      </c>
      <c r="K15" s="15" t="s">
        <v>607</v>
      </c>
      <c r="L15" s="324">
        <v>5000</v>
      </c>
      <c r="M15" s="324">
        <v>5088.9260869565205</v>
      </c>
      <c r="N15" s="324">
        <v>5088.9260869565205</v>
      </c>
    </row>
    <row r="16" spans="9:14" x14ac:dyDescent="0.25">
      <c r="I16" s="295"/>
      <c r="J16" s="15" t="s">
        <v>611</v>
      </c>
      <c r="K16" s="15" t="s">
        <v>607</v>
      </c>
      <c r="L16" s="324">
        <v>5000</v>
      </c>
      <c r="M16" s="324">
        <v>37119.534782608695</v>
      </c>
      <c r="N16" s="324">
        <v>43680</v>
      </c>
    </row>
    <row r="19" spans="10:15" x14ac:dyDescent="0.25">
      <c r="J19" s="294" t="s">
        <v>592</v>
      </c>
      <c r="K19" s="294" t="s">
        <v>593</v>
      </c>
      <c r="L19" s="294" t="s">
        <v>594</v>
      </c>
      <c r="M19" s="294" t="s">
        <v>595</v>
      </c>
      <c r="N19" s="294" t="s">
        <v>596</v>
      </c>
      <c r="O19" s="294" t="s">
        <v>597</v>
      </c>
    </row>
    <row r="20" spans="10:15" x14ac:dyDescent="0.25">
      <c r="J20" s="294" t="s">
        <v>99</v>
      </c>
      <c r="K20" s="323">
        <f>('E-Costos'!B7-'E-Costos'!B25-'E-Costos'!G25)*InfoInicial!$B$3*$M$10/$M$11</f>
        <v>10830.955300707126</v>
      </c>
      <c r="L20" s="323">
        <f>('E-Costos'!C7-'E-Costos'!C25)*InfoInicial!$B$3*$M$10/$M$11</f>
        <v>13160.91331533702</v>
      </c>
      <c r="M20" s="323">
        <f>('E-Costos'!D7-'E-Costos'!D25)*InfoInicial!$B$3*$M$10/$M$11</f>
        <v>13160.91331533702</v>
      </c>
      <c r="N20" s="323">
        <f>('E-Costos'!E7-'E-Costos'!E25)*InfoInicial!$B$3*$M$10/$M$11</f>
        <v>13160.91331533702</v>
      </c>
      <c r="O20" s="323">
        <f>('E-Costos'!F7-'E-Costos'!F25)*InfoInicial!$B$3*$M$10/$M$11</f>
        <v>13160.91331533702</v>
      </c>
    </row>
    <row r="21" spans="10:15" x14ac:dyDescent="0.25">
      <c r="J21" s="294" t="s">
        <v>103</v>
      </c>
      <c r="K21" s="323">
        <f>('E-Costos'!B12-'E-Costos'!B30-'E-Costos'!G30)*InfoInicial!$B$3*M10/M11</f>
        <v>433.15137026101013</v>
      </c>
      <c r="L21" s="323">
        <f>('E-Costos'!C12-'E-Costos'!C30)*InfoInicial!$B$3*$N$10/$N$11</f>
        <v>363.76329423954934</v>
      </c>
      <c r="M21" s="323">
        <f>('E-Costos'!D12-'E-Costos'!D30)*InfoInicial!$B$3*$N$10/$N$11</f>
        <v>363.76329423954934</v>
      </c>
      <c r="N21" s="323">
        <f>('E-Costos'!E12-'E-Costos'!E30)*InfoInicial!$B$3*$N$10/$N$11</f>
        <v>363.76329423954934</v>
      </c>
      <c r="O21" s="323">
        <f>('E-Costos'!F12-'E-Costos'!F30)*InfoInicial!$B$3*$N$10/$N$11</f>
        <v>363.76329423954934</v>
      </c>
    </row>
    <row r="22" spans="10:15" x14ac:dyDescent="0.25">
      <c r="J22" s="294" t="s">
        <v>104</v>
      </c>
      <c r="K22" s="323">
        <f>('E-Costos'!B31-'E-Costos'!G31)*InfoInicial!$B$3*$M$10/$M$11</f>
        <v>-0.18025278604933934</v>
      </c>
      <c r="L22" s="323">
        <f>('E-Costos'!C31)*InfoInicial!$B$3*$M$10/$M$11</f>
        <v>0.30087498635292753</v>
      </c>
      <c r="M22" s="323">
        <f>('E-Costos'!D31)*InfoInicial!$B$3*$M$10/$M$11</f>
        <v>0.30087498635292753</v>
      </c>
      <c r="N22" s="323">
        <f>('E-Costos'!E31)*InfoInicial!$B$3*$M$10/$M$11</f>
        <v>0.30087498635292753</v>
      </c>
      <c r="O22" s="323">
        <f>('E-Costos'!F31)*InfoInicial!$B$3*$M$10/$M$11</f>
        <v>0.30087498635292753</v>
      </c>
    </row>
    <row r="23" spans="10:15" x14ac:dyDescent="0.25">
      <c r="J23" s="294" t="s">
        <v>105</v>
      </c>
      <c r="K23" s="323">
        <f>('E-Costos'!B14-'E-Costos'!B32-'E-Costos'!G32)*InfoInicial!$B$3*$M$10/$M$11</f>
        <v>0</v>
      </c>
      <c r="L23" s="323">
        <f>('E-Costos'!C14-'E-Costos'!C32)*InfoInicial!$B$3*$N$10/$N$11</f>
        <v>0</v>
      </c>
      <c r="M23" s="323">
        <f>('E-Costos'!D14-'E-Costos'!D32)*InfoInicial!$B$3*$N$10/$N$11</f>
        <v>0</v>
      </c>
      <c r="N23" s="323">
        <f>('E-Costos'!E14-'E-Costos'!E32)*InfoInicial!$B$3*$N$10/$N$11</f>
        <v>0</v>
      </c>
      <c r="O23" s="323">
        <f>('E-Costos'!F14-'E-Costos'!F32)*InfoInicial!$B$3*$N$10/$N$11</f>
        <v>0</v>
      </c>
    </row>
    <row r="24" spans="10:15" x14ac:dyDescent="0.25">
      <c r="J24" s="294" t="s">
        <v>158</v>
      </c>
      <c r="K24" s="323">
        <f>SUM(K20:K23)</f>
        <v>11263.926418182087</v>
      </c>
      <c r="L24" s="323">
        <f>SUM(L20:L23)</f>
        <v>13524.977484562922</v>
      </c>
      <c r="M24" s="323">
        <f>SUM(M20:M23)</f>
        <v>13524.977484562922</v>
      </c>
      <c r="N24" s="323">
        <f>SUM(N20:N23)</f>
        <v>13524.977484562922</v>
      </c>
      <c r="O24" s="323">
        <f>SUM(O20:O23)</f>
        <v>13524.977484562922</v>
      </c>
    </row>
    <row r="25" spans="10:15" x14ac:dyDescent="0.25">
      <c r="J25" s="294" t="s">
        <v>598</v>
      </c>
      <c r="K25" s="323">
        <f>K24</f>
        <v>11263.926418182087</v>
      </c>
      <c r="L25" s="323">
        <f>L24-K24</f>
        <v>2261.0510663808345</v>
      </c>
      <c r="M25" s="323">
        <f>M24-L24</f>
        <v>0</v>
      </c>
      <c r="N25" s="323">
        <f>N24-M24</f>
        <v>0</v>
      </c>
      <c r="O25" s="323">
        <f>O24-N24</f>
        <v>0</v>
      </c>
    </row>
    <row r="29" spans="10:15" x14ac:dyDescent="0.25">
      <c r="J29" s="15" t="s">
        <v>404</v>
      </c>
    </row>
    <row r="30" spans="10:15" x14ac:dyDescent="0.25">
      <c r="K30" s="15" t="s">
        <v>406</v>
      </c>
      <c r="L30" s="15" t="s">
        <v>407</v>
      </c>
      <c r="M30" s="15" t="s">
        <v>408</v>
      </c>
    </row>
    <row r="31" spans="10:15" x14ac:dyDescent="0.25">
      <c r="J31" s="15" t="s">
        <v>410</v>
      </c>
      <c r="K31" s="15">
        <v>114.226</v>
      </c>
      <c r="L31" s="15">
        <v>0.7</v>
      </c>
      <c r="M31" s="15" t="s">
        <v>411</v>
      </c>
    </row>
    <row r="32" spans="10:15" x14ac:dyDescent="0.25">
      <c r="J32" s="15" t="s">
        <v>414</v>
      </c>
      <c r="K32" s="15">
        <v>19.899999999999999</v>
      </c>
      <c r="L32" s="15">
        <v>2</v>
      </c>
      <c r="M32" s="15" t="s">
        <v>415</v>
      </c>
    </row>
    <row r="33" spans="10:13" x14ac:dyDescent="0.25">
      <c r="J33" s="15" t="s">
        <v>417</v>
      </c>
      <c r="K33" s="15">
        <v>222.87999999999997</v>
      </c>
      <c r="L33" s="15">
        <v>2</v>
      </c>
      <c r="M33" s="15" t="s">
        <v>415</v>
      </c>
    </row>
    <row r="34" spans="10:13" x14ac:dyDescent="0.25">
      <c r="K34" s="15">
        <v>357.00599999999997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opLeftCell="A2" zoomScale="90" zoomScaleNormal="90" workbookViewId="0">
      <selection activeCell="E28" sqref="E28:G28"/>
    </sheetView>
  </sheetViews>
  <sheetFormatPr baseColWidth="10" defaultColWidth="11.26953125" defaultRowHeight="12.5" x14ac:dyDescent="0.25"/>
  <cols>
    <col min="1" max="1" width="28" style="15" customWidth="1"/>
    <col min="2" max="2" width="21.453125" style="15" customWidth="1"/>
    <col min="3" max="7" width="16" style="15" bestFit="1" customWidth="1"/>
    <col min="8" max="8" width="17.26953125" style="15" customWidth="1"/>
    <col min="9" max="16384" width="11.26953125" style="15"/>
  </cols>
  <sheetData>
    <row r="1" spans="1:7" ht="13" x14ac:dyDescent="0.3">
      <c r="A1" s="1" t="s">
        <v>0</v>
      </c>
      <c r="B1"/>
      <c r="C1"/>
      <c r="D1"/>
      <c r="G1" s="2">
        <f>InfoInicial!E1</f>
        <v>2</v>
      </c>
    </row>
    <row r="2" spans="1:7" ht="15.5" x14ac:dyDescent="0.35">
      <c r="A2" s="114" t="s">
        <v>217</v>
      </c>
      <c r="B2" s="57"/>
      <c r="C2" s="57"/>
      <c r="D2" s="57"/>
      <c r="E2" s="57"/>
      <c r="F2" s="57"/>
      <c r="G2" s="58"/>
    </row>
    <row r="3" spans="1:7" ht="15.5" x14ac:dyDescent="0.35">
      <c r="A3" s="115"/>
      <c r="B3" s="116" t="s">
        <v>218</v>
      </c>
      <c r="C3" s="116"/>
      <c r="D3" s="116"/>
      <c r="E3" s="116"/>
      <c r="F3" s="116"/>
      <c r="G3" s="117"/>
    </row>
    <row r="4" spans="1:7" ht="13" x14ac:dyDescent="0.3">
      <c r="A4" s="118" t="s">
        <v>94</v>
      </c>
      <c r="B4" s="107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7" ht="13" x14ac:dyDescent="0.3">
      <c r="A5" s="119" t="s">
        <v>219</v>
      </c>
      <c r="B5" s="120"/>
      <c r="C5" s="103"/>
      <c r="D5" s="103"/>
      <c r="E5" s="103"/>
      <c r="F5" s="103"/>
      <c r="G5" s="104"/>
    </row>
    <row r="6" spans="1:7" x14ac:dyDescent="0.25">
      <c r="A6" s="121" t="s">
        <v>220</v>
      </c>
      <c r="B6" s="122"/>
      <c r="C6" s="64">
        <f>'E-Costos'!B7*0.21</f>
        <v>2776231.4902685997</v>
      </c>
      <c r="D6" s="64">
        <f>'E-Costos'!C7*0.21</f>
        <v>3274744.6367999995</v>
      </c>
      <c r="E6" s="64">
        <f>'E-Costos'!D7*0.21</f>
        <v>3274744.6367999995</v>
      </c>
      <c r="F6" s="64">
        <f>'E-Costos'!E7*0.21</f>
        <v>3274744.6367999995</v>
      </c>
      <c r="G6" s="64">
        <f>'E-Costos'!F7*0.21</f>
        <v>3274744.6367999995</v>
      </c>
    </row>
    <row r="7" spans="1:7" x14ac:dyDescent="0.25">
      <c r="A7" s="121" t="s">
        <v>103</v>
      </c>
      <c r="B7" s="122"/>
      <c r="C7" s="64">
        <f>'E-Costos'!B12*0.21</f>
        <v>111027</v>
      </c>
      <c r="D7" s="64">
        <f>'E-Costos'!C12*0.21</f>
        <v>111027</v>
      </c>
      <c r="E7" s="64">
        <f>'E-Costos'!D12*0.21</f>
        <v>111027</v>
      </c>
      <c r="F7" s="64">
        <f>'E-Costos'!E12*0.21</f>
        <v>111027</v>
      </c>
      <c r="G7" s="64">
        <f>'E-Costos'!F12*0.21</f>
        <v>111027</v>
      </c>
    </row>
    <row r="8" spans="1:7" x14ac:dyDescent="0.25">
      <c r="A8" s="121" t="s">
        <v>104</v>
      </c>
      <c r="B8" s="122"/>
      <c r="C8" s="64">
        <f>'E-Costos'!B13*0.21</f>
        <v>4836.2911036649994</v>
      </c>
      <c r="D8" s="64">
        <f>'E-Costos'!C13*0.21</f>
        <v>5090.8327406999997</v>
      </c>
      <c r="E8" s="64">
        <f>'E-Costos'!D13*0.21</f>
        <v>5090.8327406999997</v>
      </c>
      <c r="F8" s="64">
        <f>'E-Costos'!E13*0.21</f>
        <v>5090.8327406999997</v>
      </c>
      <c r="G8" s="64">
        <f>'E-Costos'!F13*0.21</f>
        <v>5090.8327406999997</v>
      </c>
    </row>
    <row r="9" spans="1:7" x14ac:dyDescent="0.25">
      <c r="A9" s="121" t="s">
        <v>105</v>
      </c>
      <c r="B9" s="122"/>
      <c r="C9" s="302">
        <f>('E-Costos'!B56+'E-Costos'!B73+'E-Costos'!B14+'E-Costos'!B32)*21%</f>
        <v>90720</v>
      </c>
      <c r="D9" s="302">
        <f>('E-Costos'!C56+'E-Costos'!C73+'E-Costos'!C14+'E-Costos'!C32)*21%</f>
        <v>90720</v>
      </c>
      <c r="E9" s="302">
        <f>('E-Costos'!D56+'E-Costos'!D73+'E-Costos'!D14+'E-Costos'!D32)*21%</f>
        <v>90720</v>
      </c>
      <c r="F9" s="302">
        <f>('E-Costos'!E56+'E-Costos'!E73+'E-Costos'!E14+'E-Costos'!E32)*21%</f>
        <v>90720</v>
      </c>
      <c r="G9" s="302">
        <f>('E-Costos'!F56+'E-Costos'!F73+'E-Costos'!F14+'E-Costos'!F32)*21%</f>
        <v>90720</v>
      </c>
    </row>
    <row r="10" spans="1:7" x14ac:dyDescent="0.25">
      <c r="A10" s="121" t="s">
        <v>221</v>
      </c>
      <c r="B10" s="122"/>
      <c r="C10" s="325">
        <v>0</v>
      </c>
      <c r="D10" s="325">
        <v>0</v>
      </c>
      <c r="E10" s="325">
        <v>0</v>
      </c>
      <c r="F10" s="325">
        <v>0</v>
      </c>
      <c r="G10" s="326">
        <v>0</v>
      </c>
    </row>
    <row r="11" spans="1:7" x14ac:dyDescent="0.25">
      <c r="A11" s="121" t="s">
        <v>130</v>
      </c>
      <c r="B11" s="122"/>
      <c r="C11" s="302">
        <f>('E-Costos'!B57+'E-Costos'!B74)*21%</f>
        <v>28081.200000000001</v>
      </c>
      <c r="D11" s="302">
        <f>('E-Costos'!C57+'E-Costos'!C74)*21%</f>
        <v>3931.2</v>
      </c>
      <c r="E11" s="302">
        <f>('E-Costos'!D57+'E-Costos'!D74)*21%</f>
        <v>3931.2</v>
      </c>
      <c r="F11" s="302">
        <f>('E-Costos'!E57+'E-Costos'!E74)*21%</f>
        <v>3931.2</v>
      </c>
      <c r="G11" s="302">
        <f>('E-Costos'!F57+'E-Costos'!F74)*21%</f>
        <v>3931.2</v>
      </c>
    </row>
    <row r="12" spans="1:7" ht="13" x14ac:dyDescent="0.3">
      <c r="A12" s="123" t="s">
        <v>89</v>
      </c>
      <c r="B12" s="122"/>
      <c r="C12" s="64">
        <f>SUM(C6:C11)</f>
        <v>3010895.9813722647</v>
      </c>
      <c r="D12" s="64">
        <f>SUM(D6:D11)</f>
        <v>3485513.6695406996</v>
      </c>
      <c r="E12" s="64">
        <f>SUM(E6:E11)</f>
        <v>3485513.6695406996</v>
      </c>
      <c r="F12" s="64">
        <f>SUM(F6:F11)</f>
        <v>3485513.6695406996</v>
      </c>
      <c r="G12" s="64">
        <f>SUM(G6:G11)</f>
        <v>3485513.6695406996</v>
      </c>
    </row>
    <row r="13" spans="1:7" x14ac:dyDescent="0.25">
      <c r="A13" s="121" t="s">
        <v>222</v>
      </c>
      <c r="B13" s="122"/>
      <c r="C13" s="64">
        <f>('E-Costos'!G35-'E-Costos'!G26)*0.21</f>
        <v>75872.696620647825</v>
      </c>
      <c r="D13" s="64"/>
      <c r="E13" s="64"/>
      <c r="F13" s="64"/>
      <c r="G13" s="65"/>
    </row>
    <row r="14" spans="1:7" x14ac:dyDescent="0.25">
      <c r="A14" s="121" t="s">
        <v>223</v>
      </c>
      <c r="B14" s="124"/>
      <c r="C14" s="85"/>
      <c r="D14" s="85"/>
      <c r="E14" s="85"/>
      <c r="F14" s="85"/>
      <c r="G14" s="86"/>
    </row>
    <row r="15" spans="1:7" x14ac:dyDescent="0.25">
      <c r="A15" s="121" t="s">
        <v>224</v>
      </c>
      <c r="B15" s="122"/>
      <c r="C15" s="64">
        <f>'E-InvAT'!C32</f>
        <v>49440.494779856403</v>
      </c>
      <c r="D15" s="64">
        <f>'E-InvAT'!D32</f>
        <v>-8.89684205903235</v>
      </c>
      <c r="E15" s="64">
        <f>'E-InvAT'!E32</f>
        <v>0</v>
      </c>
      <c r="F15" s="64">
        <f>'E-InvAT'!F32</f>
        <v>0</v>
      </c>
      <c r="G15" s="64">
        <f>'E-InvAT'!G32</f>
        <v>0</v>
      </c>
    </row>
    <row r="16" spans="1:7" x14ac:dyDescent="0.25">
      <c r="A16" s="121" t="s">
        <v>225</v>
      </c>
      <c r="B16" s="122"/>
      <c r="C16" s="64">
        <f>'E-InvAT'!C33</f>
        <v>11263.926418182087</v>
      </c>
      <c r="D16" s="64">
        <f>'E-InvAT'!D33</f>
        <v>2261.0510663808345</v>
      </c>
      <c r="E16" s="64">
        <f>'E-InvAT'!E33</f>
        <v>0</v>
      </c>
      <c r="F16" s="64">
        <f>'E-InvAT'!F33</f>
        <v>0</v>
      </c>
      <c r="G16" s="64">
        <f>'E-InvAT'!G33</f>
        <v>0</v>
      </c>
    </row>
    <row r="17" spans="1:7" ht="13" x14ac:dyDescent="0.3">
      <c r="A17" s="123" t="s">
        <v>226</v>
      </c>
      <c r="B17" s="122"/>
      <c r="C17" s="64">
        <f>C12-(SUM(C13:C16))</f>
        <v>2874318.8635535785</v>
      </c>
      <c r="D17" s="64">
        <f>D12-(SUM(D13:D16))</f>
        <v>3483261.5153163779</v>
      </c>
      <c r="E17" s="64">
        <f>E12-(SUM(E13:E16))</f>
        <v>3485513.6695406996</v>
      </c>
      <c r="F17" s="64">
        <f>F12-(SUM(F13:F16))</f>
        <v>3485513.6695406996</v>
      </c>
      <c r="G17" s="64">
        <f>G12-(SUM(G13:G16))</f>
        <v>3485513.6695406996</v>
      </c>
    </row>
    <row r="18" spans="1:7" ht="13" x14ac:dyDescent="0.3">
      <c r="A18" s="123" t="s">
        <v>227</v>
      </c>
      <c r="B18" s="122"/>
      <c r="C18" s="64">
        <f>('E-Costos'!B54+'E-Costos'!B55+'E-Costos'!B57)*0.21</f>
        <v>166948.4413700733</v>
      </c>
      <c r="D18" s="64">
        <f>('E-Costos'!C54+'E-Costos'!C55+'E-Costos'!C57)*0.21</f>
        <v>158642.478374814</v>
      </c>
      <c r="E18" s="64">
        <f>('E-Costos'!D54+'E-Costos'!D55+'E-Costos'!D57)*0.21</f>
        <v>158642.478374814</v>
      </c>
      <c r="F18" s="64">
        <f>('E-Costos'!E54+'E-Costos'!E55+'E-Costos'!E57)*0.21</f>
        <v>158642.478374814</v>
      </c>
      <c r="G18" s="64">
        <f>('E-Costos'!F54+'E-Costos'!F55+'E-Costos'!F57)*0.21</f>
        <v>158642.478374814</v>
      </c>
    </row>
    <row r="19" spans="1:7" ht="13" x14ac:dyDescent="0.3">
      <c r="A19" s="123" t="s">
        <v>228</v>
      </c>
      <c r="B19" s="122"/>
      <c r="C19" s="64">
        <f>('E-Costos'!B71+'E-Costos'!B72+'E-Costos'!B73+'E-Costos'!B74)*0.21</f>
        <v>451005.55104207329</v>
      </c>
      <c r="D19" s="64">
        <f>('E-Costos'!C71+'E-Costos'!C72+'E-Costos'!C73+'E-Costos'!C74)*0.21</f>
        <v>523488.07837481401</v>
      </c>
      <c r="E19" s="64">
        <f>('E-Costos'!D71+'E-Costos'!D72+'E-Costos'!D73+'E-Costos'!D74)*0.21</f>
        <v>523488.07837481401</v>
      </c>
      <c r="F19" s="64">
        <f>('E-Costos'!E71+'E-Costos'!E72+'E-Costos'!E73+'E-Costos'!E74)*0.21</f>
        <v>523488.07837481401</v>
      </c>
      <c r="G19" s="64">
        <f>('E-Costos'!F71+'E-Costos'!F72+'E-Costos'!F73+'E-Costos'!F74)*0.21</f>
        <v>523488.07837481401</v>
      </c>
    </row>
    <row r="20" spans="1:7" ht="13" x14ac:dyDescent="0.3">
      <c r="A20" s="123"/>
      <c r="B20" s="124"/>
      <c r="C20" s="85"/>
      <c r="D20" s="85"/>
      <c r="E20" s="85"/>
      <c r="F20" s="85"/>
      <c r="G20" s="86"/>
    </row>
    <row r="21" spans="1:7" x14ac:dyDescent="0.25">
      <c r="A21" s="121" t="s">
        <v>229</v>
      </c>
      <c r="B21" s="122"/>
      <c r="C21" s="64">
        <f>SUM(C17:C19)</f>
        <v>3492272.8559657251</v>
      </c>
      <c r="D21" s="64">
        <f>SUM(D17:D19)</f>
        <v>4165392.0720660063</v>
      </c>
      <c r="E21" s="64">
        <f>SUM(E17:E19)</f>
        <v>4167644.2262903275</v>
      </c>
      <c r="F21" s="64">
        <f>SUM(F17:F19)</f>
        <v>4167644.2262903275</v>
      </c>
      <c r="G21" s="64">
        <f>SUM(G17:G19)</f>
        <v>4167644.2262903275</v>
      </c>
    </row>
    <row r="22" spans="1:7" x14ac:dyDescent="0.25">
      <c r="A22" s="121" t="s">
        <v>230</v>
      </c>
      <c r="B22" s="122"/>
      <c r="C22" s="64">
        <f>'E-Costos'!B88*0.21</f>
        <v>10769985.449999999</v>
      </c>
      <c r="D22" s="64">
        <f>'E-Costos'!C88*0.21</f>
        <v>13230000</v>
      </c>
      <c r="E22" s="64">
        <f>'E-Costos'!D88*0.21</f>
        <v>13230000</v>
      </c>
      <c r="F22" s="64">
        <f>'E-Costos'!E88*0.21</f>
        <v>13230000</v>
      </c>
      <c r="G22" s="64">
        <f>'E-Costos'!F88*0.21</f>
        <v>13230000</v>
      </c>
    </row>
    <row r="23" spans="1:7" ht="13" x14ac:dyDescent="0.3">
      <c r="A23" s="123" t="s">
        <v>231</v>
      </c>
      <c r="B23" s="122"/>
      <c r="C23" s="64">
        <f>C22-C21</f>
        <v>7277712.5940342741</v>
      </c>
      <c r="D23" s="64">
        <f>D22-D21</f>
        <v>9064607.9279339947</v>
      </c>
      <c r="E23" s="64">
        <f>E22-E21</f>
        <v>9062355.7737096734</v>
      </c>
      <c r="F23" s="64">
        <f>F22-F21</f>
        <v>9062355.7737096734</v>
      </c>
      <c r="G23" s="64">
        <f>G22-G21</f>
        <v>9062355.7737096734</v>
      </c>
    </row>
    <row r="24" spans="1:7" x14ac:dyDescent="0.25">
      <c r="A24" s="121"/>
      <c r="B24" s="124"/>
      <c r="C24" s="85"/>
      <c r="D24" s="85"/>
      <c r="E24" s="85"/>
      <c r="F24" s="85"/>
      <c r="G24" s="86"/>
    </row>
    <row r="25" spans="1:7" ht="13" x14ac:dyDescent="0.3">
      <c r="A25" s="125" t="s">
        <v>232</v>
      </c>
      <c r="B25" s="122"/>
      <c r="C25" s="64">
        <f>B27</f>
        <v>11716711.922916001</v>
      </c>
      <c r="D25" s="296">
        <f>C27</f>
        <v>8256939.4956485396</v>
      </c>
      <c r="E25" s="296">
        <f>D27</f>
        <v>0</v>
      </c>
      <c r="F25" s="296">
        <f>E27</f>
        <v>0</v>
      </c>
      <c r="G25" s="296">
        <f>F27</f>
        <v>0</v>
      </c>
    </row>
    <row r="26" spans="1:7" ht="13" x14ac:dyDescent="0.3">
      <c r="A26" s="125" t="s">
        <v>233</v>
      </c>
      <c r="B26" s="122">
        <f>'E-Cal Inv.'!B23+'E-Cal Inv.'!C23</f>
        <v>11716711.922916001</v>
      </c>
      <c r="C26" s="64">
        <f>'E-Cal Inv.'!D23</f>
        <v>3817940.166766813</v>
      </c>
      <c r="D26" s="64">
        <f>'E-Cal Inv.'!E23</f>
        <v>751216.81522072363</v>
      </c>
      <c r="E26" s="64">
        <f>'E-Cal Inv.'!F23</f>
        <v>6.5722609858700887</v>
      </c>
      <c r="F26" s="64">
        <f>'E-Cal Inv.'!G23</f>
        <v>-158.2346528607988</v>
      </c>
      <c r="G26" s="64">
        <f>'E-Cal Inv.'!H23</f>
        <v>0.62956886081316044</v>
      </c>
    </row>
    <row r="27" spans="1:7" ht="13" x14ac:dyDescent="0.3">
      <c r="A27" s="123" t="s">
        <v>234</v>
      </c>
      <c r="B27" s="122">
        <f>B26</f>
        <v>11716711.922916001</v>
      </c>
      <c r="C27" s="64">
        <f>IF(C25+C26-C23&lt;0,0,C25+C26-C23)</f>
        <v>8256939.4956485396</v>
      </c>
      <c r="D27" s="64">
        <f>IF(D25+D26-D23&lt;0,0,D25+D26-D23)</f>
        <v>0</v>
      </c>
      <c r="E27" s="64">
        <f>IF(E25+E26-E23&lt;0,0,E25+E26-E23)</f>
        <v>0</v>
      </c>
      <c r="F27" s="64">
        <f>IF(F25+F26-F23&lt;0,0,F25+F26-F23)</f>
        <v>0</v>
      </c>
      <c r="G27" s="64">
        <f>IF(G25+G26-G23&lt;0,0,G25+G26-G23)</f>
        <v>0</v>
      </c>
    </row>
    <row r="28" spans="1:7" ht="13" x14ac:dyDescent="0.3">
      <c r="A28" s="123" t="s">
        <v>235</v>
      </c>
      <c r="B28" s="122">
        <v>0</v>
      </c>
      <c r="C28" s="296">
        <f>C25+C26-C27</f>
        <v>7277712.5940342741</v>
      </c>
      <c r="D28" s="296">
        <f>D25+D26-D27</f>
        <v>9008156.3108692635</v>
      </c>
      <c r="E28" s="296">
        <f>E25+E26-E27</f>
        <v>6.5722609858700887</v>
      </c>
      <c r="F28" s="296">
        <f>F25+F26-F27</f>
        <v>-158.2346528607988</v>
      </c>
      <c r="G28" s="296">
        <f>G25+G26-G27</f>
        <v>0.62956886081316044</v>
      </c>
    </row>
    <row r="29" spans="1:7" x14ac:dyDescent="0.25">
      <c r="A29" s="121"/>
      <c r="B29" s="124"/>
      <c r="C29" s="85"/>
      <c r="D29" s="85"/>
      <c r="E29" s="85"/>
      <c r="F29" s="85"/>
      <c r="G29" s="86"/>
    </row>
    <row r="30" spans="1:7" ht="13" x14ac:dyDescent="0.3">
      <c r="A30" s="126" t="s">
        <v>236</v>
      </c>
      <c r="B30" s="127">
        <f t="shared" ref="B30:G30" si="0">B23-B28</f>
        <v>0</v>
      </c>
      <c r="C30" s="127">
        <f>C23-C28</f>
        <v>0</v>
      </c>
      <c r="D30" s="127">
        <f t="shared" si="0"/>
        <v>56451.617064731196</v>
      </c>
      <c r="E30" s="127">
        <f t="shared" si="0"/>
        <v>9062349.2014486883</v>
      </c>
      <c r="F30" s="127">
        <f t="shared" si="0"/>
        <v>9062514.0083625335</v>
      </c>
      <c r="G30" s="127">
        <f t="shared" si="0"/>
        <v>9062355.1441408135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InfoInicial</vt:lpstr>
      <vt:lpstr>E-Inv AF y Am</vt:lpstr>
      <vt:lpstr>Detalles AF</vt:lpstr>
      <vt:lpstr>E-Costos</vt:lpstr>
      <vt:lpstr>Aux E-Costos</vt:lpstr>
      <vt:lpstr>E-Cal Inv.</vt:lpstr>
      <vt:lpstr>E-InvAT</vt:lpstr>
      <vt:lpstr>Aux E-InvAT</vt:lpstr>
      <vt:lpstr>E-IVA </vt:lpstr>
      <vt:lpstr>E-Form</vt:lpstr>
      <vt:lpstr>Aux F-Cred Ren</vt:lpstr>
      <vt:lpstr>Aux F-Cred</vt:lpstr>
      <vt:lpstr>F-Cred</vt:lpstr>
      <vt:lpstr>F-CRes</vt:lpstr>
      <vt:lpstr>F-2 Estructura</vt:lpstr>
      <vt:lpstr>F-IVA</vt:lpstr>
      <vt:lpstr>F- CFyU</vt:lpstr>
      <vt:lpstr>F-Balance</vt:lpstr>
      <vt:lpstr>F- Form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RAMOS</dc:creator>
  <cp:lastModifiedBy>Matias Fridman</cp:lastModifiedBy>
  <dcterms:created xsi:type="dcterms:W3CDTF">2018-09-18T19:57:41Z</dcterms:created>
  <dcterms:modified xsi:type="dcterms:W3CDTF">2018-10-24T21:36:49Z</dcterms:modified>
</cp:coreProperties>
</file>