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80" windowWidth="18915" windowHeight="3090" activeTab="4"/>
  </bookViews>
  <sheets>
    <sheet name="Ej1" sheetId="7" r:id="rId1"/>
    <sheet name="Ej2" sheetId="10" r:id="rId2"/>
    <sheet name="Ej3-4-5" sheetId="8" r:id="rId3"/>
    <sheet name="Maquinas Especificaciones" sheetId="9" r:id="rId4"/>
    <sheet name="Consumos" sheetId="11" r:id="rId5"/>
  </sheets>
  <calcPr calcId="144525"/>
</workbook>
</file>

<file path=xl/calcChain.xml><?xml version="1.0" encoding="utf-8"?>
<calcChain xmlns="http://schemas.openxmlformats.org/spreadsheetml/2006/main">
  <c r="F36" i="11" l="1"/>
  <c r="F34" i="11"/>
  <c r="D33" i="11"/>
  <c r="F33" i="11"/>
  <c r="D34" i="11"/>
  <c r="D35" i="11"/>
  <c r="F35" i="11" s="1"/>
  <c r="B1" i="11" l="1"/>
  <c r="F7" i="11"/>
  <c r="K7" i="11"/>
  <c r="D6" i="11" s="1"/>
  <c r="F6" i="11" s="1"/>
  <c r="D4" i="11"/>
  <c r="F4" i="11" s="1"/>
  <c r="J7" i="11"/>
  <c r="D5" i="11" s="1"/>
  <c r="F5" i="11" s="1"/>
  <c r="F23" i="11" l="1"/>
  <c r="F26" i="11"/>
  <c r="F25" i="11"/>
  <c r="F27" i="11"/>
  <c r="F12" i="11"/>
  <c r="F28" i="11"/>
  <c r="F29" i="11"/>
  <c r="F8" i="11"/>
  <c r="F14" i="11"/>
  <c r="F21" i="11"/>
  <c r="F17" i="11"/>
  <c r="F19" i="11"/>
  <c r="F15" i="11"/>
  <c r="C1" i="8"/>
  <c r="J8" i="9"/>
  <c r="F30" i="11" l="1"/>
  <c r="C9" i="7"/>
  <c r="C11" i="7"/>
  <c r="E12" i="7" l="1"/>
  <c r="B28" i="10"/>
  <c r="H18" i="9" l="1"/>
  <c r="F8" i="8" s="1"/>
  <c r="H2" i="9"/>
  <c r="C26" i="10"/>
  <c r="C24" i="10"/>
  <c r="B19" i="10"/>
  <c r="D17" i="10"/>
  <c r="D16" i="10"/>
  <c r="D15" i="10"/>
  <c r="D14" i="10"/>
  <c r="E7" i="10"/>
  <c r="E6" i="10"/>
  <c r="P10" i="9"/>
  <c r="P9" i="9"/>
  <c r="J7" i="9"/>
  <c r="P7" i="9" s="1"/>
  <c r="H16" i="9" s="1"/>
  <c r="F6" i="8" s="1"/>
  <c r="H17" i="9" l="1"/>
  <c r="F7" i="8" s="1"/>
  <c r="P8" i="9"/>
  <c r="H19" i="9" s="1"/>
  <c r="F9" i="8" s="1"/>
  <c r="D12" i="7"/>
  <c r="D9" i="8" l="1"/>
  <c r="E9" i="8" s="1"/>
  <c r="G9" i="8" s="1"/>
  <c r="D20" i="8" l="1"/>
  <c r="D8" i="8"/>
  <c r="E8" i="8" s="1"/>
  <c r="D7" i="8"/>
  <c r="E7" i="8" s="1"/>
  <c r="D6" i="8"/>
  <c r="E6" i="8" s="1"/>
  <c r="G6" i="8" s="1"/>
  <c r="D17" i="8" s="1"/>
  <c r="E11" i="7"/>
  <c r="G7" i="8" l="1"/>
  <c r="D18" i="8" s="1"/>
  <c r="G8" i="8"/>
  <c r="D19" i="8" s="1"/>
  <c r="C12" i="7"/>
  <c r="D17" i="7"/>
  <c r="D16" i="7" l="1"/>
  <c r="B11" i="7"/>
  <c r="C20" i="8" s="1"/>
  <c r="E10" i="7" l="1"/>
  <c r="B10" i="7" s="1"/>
  <c r="E20" i="8"/>
  <c r="F20" i="8" s="1"/>
  <c r="G20" i="8" s="1"/>
  <c r="A20" i="8" s="1"/>
  <c r="E9" i="7" l="1"/>
  <c r="B9" i="7" s="1"/>
  <c r="C19" i="8"/>
  <c r="E19" i="8" s="1"/>
  <c r="F19" i="8" s="1"/>
  <c r="G19" i="8" s="1"/>
  <c r="A19" i="8" s="1"/>
  <c r="E8" i="7" l="1"/>
  <c r="B8" i="7" s="1"/>
  <c r="C18" i="8"/>
  <c r="E18" i="8" s="1"/>
  <c r="F18" i="8" s="1"/>
  <c r="G18" i="8" s="1"/>
  <c r="A18" i="8" s="1"/>
  <c r="B12" i="7" l="1"/>
  <c r="C17" i="8"/>
  <c r="E17" i="8" s="1"/>
  <c r="F17" i="8" s="1"/>
  <c r="G17" i="8" s="1"/>
  <c r="A17" i="8" s="1"/>
  <c r="C26" i="8" s="1"/>
  <c r="D14" i="7" l="1"/>
  <c r="D15" i="7"/>
  <c r="C25" i="8"/>
</calcChain>
</file>

<file path=xl/sharedStrings.xml><?xml version="1.0" encoding="utf-8"?>
<sst xmlns="http://schemas.openxmlformats.org/spreadsheetml/2006/main" count="305" uniqueCount="157">
  <si>
    <t>Producción en estado de régimen</t>
  </si>
  <si>
    <t>unidades anuales</t>
  </si>
  <si>
    <t>unidades</t>
  </si>
  <si>
    <t>Desperdicios</t>
  </si>
  <si>
    <t>Recuperables</t>
  </si>
  <si>
    <t>No Recuperables</t>
  </si>
  <si>
    <t>Inyección</t>
  </si>
  <si>
    <t>Impresión</t>
  </si>
  <si>
    <t>-</t>
  </si>
  <si>
    <t>Inserto estanqueidad</t>
  </si>
  <si>
    <t>Troquel</t>
  </si>
  <si>
    <t>Alimentación</t>
  </si>
  <si>
    <t>Producción
por área</t>
  </si>
  <si>
    <t>Peso de una tapa plástica</t>
  </si>
  <si>
    <t>kgs</t>
  </si>
  <si>
    <t>Inyección-Troquel</t>
  </si>
  <si>
    <t>kilogramos/año</t>
  </si>
  <si>
    <t xml:space="preserve">Total </t>
  </si>
  <si>
    <t>Volumen ingresado para la producción anual</t>
  </si>
  <si>
    <t>kilos</t>
  </si>
  <si>
    <t>Consumo real de MP</t>
  </si>
  <si>
    <t>Porcentaje de desperdicio operativo</t>
  </si>
  <si>
    <t>%</t>
  </si>
  <si>
    <t>Porcentaje de desperdicio real</t>
  </si>
  <si>
    <t>Inyectora</t>
  </si>
  <si>
    <t>Capacidad</t>
  </si>
  <si>
    <t>unidades/hora</t>
  </si>
  <si>
    <t>segundos</t>
  </si>
  <si>
    <t>Guarnicionadora</t>
  </si>
  <si>
    <t>días</t>
  </si>
  <si>
    <t>Mañana</t>
  </si>
  <si>
    <t>Tarde</t>
  </si>
  <si>
    <t>Noche</t>
  </si>
  <si>
    <t>hs</t>
  </si>
  <si>
    <t>Horas laborales en un año</t>
  </si>
  <si>
    <t>Hs activas 
x año</t>
  </si>
  <si>
    <t>Capacidad 
teorica anual</t>
  </si>
  <si>
    <t>Secciones Operativas</t>
  </si>
  <si>
    <t>Capacidad teórica
(unidades x hora)</t>
  </si>
  <si>
    <t>Programa Anual
 de Producción</t>
  </si>
  <si>
    <t>Cantidad Máq. 
Necesarias</t>
  </si>
  <si>
    <t>Aprovechamiento 
seccional (%)</t>
  </si>
  <si>
    <t>Capacidad real
(unidades x año)</t>
  </si>
  <si>
    <t>Capacidad real
(kilos x año)</t>
  </si>
  <si>
    <t>Capacidad real 
sección x año</t>
  </si>
  <si>
    <t>CUELLO DE BOTELLA</t>
  </si>
  <si>
    <t>Capacidad real del cuello de botella</t>
  </si>
  <si>
    <t>kilos por año</t>
  </si>
  <si>
    <t>Especificaciones técnicas de la máquina</t>
  </si>
  <si>
    <t>Troqueladora</t>
  </si>
  <si>
    <t>Impresora</t>
  </si>
  <si>
    <t>Guarnición</t>
  </si>
  <si>
    <t>Capacidad de Producción</t>
  </si>
  <si>
    <t>Potencia eléctrica instalada</t>
  </si>
  <si>
    <t>kW (50Hz)</t>
  </si>
  <si>
    <t>Potencia absorbida eléctrica</t>
  </si>
  <si>
    <t xml:space="preserve">kW </t>
  </si>
  <si>
    <t>Consumo aire comprimido</t>
  </si>
  <si>
    <t>N/min</t>
  </si>
  <si>
    <t>15.000-20.000</t>
  </si>
  <si>
    <t>Moldes</t>
  </si>
  <si>
    <t>Cavidades</t>
  </si>
  <si>
    <t>Mpa</t>
  </si>
  <si>
    <t>kW</t>
  </si>
  <si>
    <t>Potencia de calentador</t>
  </si>
  <si>
    <t>Presión máx. de bomba</t>
  </si>
  <si>
    <t>Potencia de motor de bomba</t>
  </si>
  <si>
    <t>Potencia</t>
  </si>
  <si>
    <t>150-200</t>
  </si>
  <si>
    <t>Molino</t>
  </si>
  <si>
    <t>kg/hora</t>
  </si>
  <si>
    <t>Compresor</t>
  </si>
  <si>
    <t>Velocidad</t>
  </si>
  <si>
    <t>rpm</t>
  </si>
  <si>
    <t>Presión</t>
  </si>
  <si>
    <t>bar</t>
  </si>
  <si>
    <t>lts/min</t>
  </si>
  <si>
    <t>Caudal</t>
  </si>
  <si>
    <t>lts</t>
  </si>
  <si>
    <t>Calderín</t>
  </si>
  <si>
    <t>Tiempo de moldeo (ciclo)</t>
  </si>
  <si>
    <t>Paradas</t>
  </si>
  <si>
    <t>por semana</t>
  </si>
  <si>
    <t>por día</t>
  </si>
  <si>
    <t>Duración</t>
  </si>
  <si>
    <t>por año</t>
  </si>
  <si>
    <t>Rendimientos</t>
  </si>
  <si>
    <t>semanas</t>
  </si>
  <si>
    <t>Total por año</t>
  </si>
  <si>
    <t>Rendimiento
operativo</t>
  </si>
  <si>
    <t>Días laborables año calendario</t>
  </si>
  <si>
    <t>Lunes a Sábado</t>
  </si>
  <si>
    <t>turnos</t>
  </si>
  <si>
    <t>Duración de los turnos</t>
  </si>
  <si>
    <t>Sábados</t>
  </si>
  <si>
    <t>Lunes</t>
  </si>
  <si>
    <t>Martes-Viernes</t>
  </si>
  <si>
    <t>Horas establecidas por día</t>
  </si>
  <si>
    <t>Lunes -Viernes</t>
  </si>
  <si>
    <t>Cantidad de días por año</t>
  </si>
  <si>
    <t>Cantidad de horas por año</t>
  </si>
  <si>
    <t>Preparación y mantenimiento máquinas:</t>
  </si>
  <si>
    <t>Día</t>
  </si>
  <si>
    <t>Turnos laborales</t>
  </si>
  <si>
    <t>Paradas establecidas en un año</t>
  </si>
  <si>
    <t>Horas reales de producción</t>
  </si>
  <si>
    <t>Horas activas laborales al año</t>
  </si>
  <si>
    <t>3 operarios por turno</t>
  </si>
  <si>
    <t>Horas anuales trabajadas por cada operario</t>
  </si>
  <si>
    <t>Desperdicios anuales (UNIDADES)</t>
  </si>
  <si>
    <t>Kilos anuales</t>
  </si>
  <si>
    <t>Maquinaria</t>
  </si>
  <si>
    <t>En un año laborables</t>
  </si>
  <si>
    <t>Horas laborables</t>
  </si>
  <si>
    <t>Rendimiento = (Horas activas - horas imprevistas)/horas activas</t>
  </si>
  <si>
    <t>Agua</t>
  </si>
  <si>
    <t>Limpieza</t>
  </si>
  <si>
    <t>Cantidad por día</t>
  </si>
  <si>
    <t>Personas</t>
  </si>
  <si>
    <t>Turnos</t>
  </si>
  <si>
    <t>lts/hora</t>
  </si>
  <si>
    <t>lts/día</t>
  </si>
  <si>
    <t>Operarios en baño</t>
  </si>
  <si>
    <t>Baño Sab</t>
  </si>
  <si>
    <t>Baño Lun-Vie</t>
  </si>
  <si>
    <t>tn/año</t>
  </si>
  <si>
    <t>Energía</t>
  </si>
  <si>
    <t>Enlainadora</t>
  </si>
  <si>
    <t>Potencia instalada</t>
  </si>
  <si>
    <t>Suministro de aire</t>
  </si>
  <si>
    <t>Luminaria</t>
  </si>
  <si>
    <t>Tubos</t>
  </si>
  <si>
    <t>PC</t>
  </si>
  <si>
    <t>Aire Acondicionado</t>
  </si>
  <si>
    <t>Gas</t>
  </si>
  <si>
    <t>Horno</t>
  </si>
  <si>
    <t>Heladera</t>
  </si>
  <si>
    <t>w/h</t>
  </si>
  <si>
    <t>Teléfonos</t>
  </si>
  <si>
    <t>kW/año</t>
  </si>
  <si>
    <t>Anafe</t>
  </si>
  <si>
    <t>Calefón</t>
  </si>
  <si>
    <t>m3</t>
  </si>
  <si>
    <t>m3/año</t>
  </si>
  <si>
    <t>Consumo unitario</t>
  </si>
  <si>
    <t>Consumo por día y hora</t>
  </si>
  <si>
    <t>Consumo por año</t>
  </si>
  <si>
    <t>kW/h</t>
  </si>
  <si>
    <t>Consumo por hora</t>
  </si>
  <si>
    <t>Cantidad</t>
  </si>
  <si>
    <t>TOTAL</t>
  </si>
  <si>
    <t>Cantidad unitaria</t>
  </si>
  <si>
    <t>Cantidad por bimestre</t>
  </si>
  <si>
    <t>Cantidad por año</t>
  </si>
  <si>
    <t>Enlainadora/Guarnicionadora</t>
  </si>
  <si>
    <t>Lun-Vie</t>
  </si>
  <si>
    <t>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</si>
</sst>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0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1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164" fontId="0" fillId="0" borderId="0" xfId="0" applyNumberFormat="1"/>
    <xf numFmtId="4" fontId="0" fillId="0" borderId="0" xfId="0" applyNumberFormat="1"/>
    <xf numFmtId="0" fontId="0" fillId="0" borderId="2" xfId="0" applyBorder="1"/>
    <xf numFmtId="4" fontId="0" fillId="0" borderId="1" xfId="0" applyNumberFormat="1" applyBorder="1"/>
    <xf numFmtId="0" fontId="5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3" fontId="1" fillId="0" borderId="0" xfId="0" applyNumberFormat="1" applyFont="1"/>
    <xf numFmtId="2" fontId="1" fillId="0" borderId="0" xfId="0" applyNumberFormat="1" applyFont="1"/>
    <xf numFmtId="165" fontId="0" fillId="0" borderId="1" xfId="0" applyNumberFormat="1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" fontId="4" fillId="0" borderId="0" xfId="0" applyNumberFormat="1" applyFont="1" applyFill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3" fontId="0" fillId="0" borderId="5" xfId="0" applyNumberFormat="1" applyBorder="1"/>
    <xf numFmtId="0" fontId="0" fillId="0" borderId="7" xfId="0" applyBorder="1"/>
    <xf numFmtId="3" fontId="0" fillId="0" borderId="7" xfId="0" applyNumberFormat="1" applyBorder="1"/>
    <xf numFmtId="0" fontId="5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4" fontId="0" fillId="0" borderId="5" xfId="0" applyNumberForma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1" fillId="0" borderId="2" xfId="0" applyFont="1" applyBorder="1"/>
    <xf numFmtId="0" fontId="0" fillId="0" borderId="13" xfId="0" applyBorder="1"/>
    <xf numFmtId="0" fontId="0" fillId="0" borderId="14" xfId="0" applyBorder="1"/>
    <xf numFmtId="3" fontId="0" fillId="0" borderId="12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"/>
  <sheetViews>
    <sheetView workbookViewId="0">
      <selection activeCell="A6" sqref="A6:E12"/>
    </sheetView>
  </sheetViews>
  <sheetFormatPr baseColWidth="10" defaultRowHeight="15" x14ac:dyDescent="0.25"/>
  <cols>
    <col min="1" max="1" width="19.7109375" bestFit="1" customWidth="1"/>
    <col min="2" max="2" width="13" style="1" bestFit="1" customWidth="1"/>
    <col min="3" max="3" width="16.7109375" bestFit="1" customWidth="1"/>
    <col min="4" max="4" width="16.140625" bestFit="1" customWidth="1"/>
  </cols>
  <sheetData>
    <row r="1" spans="1:10" ht="30.75" thickBot="1" x14ac:dyDescent="0.3">
      <c r="A1" s="26" t="s">
        <v>109</v>
      </c>
      <c r="B1" s="27" t="s">
        <v>4</v>
      </c>
      <c r="C1" s="27" t="s">
        <v>5</v>
      </c>
      <c r="F1" t="s">
        <v>0</v>
      </c>
      <c r="I1" s="2">
        <v>95000000</v>
      </c>
      <c r="J1" t="s">
        <v>1</v>
      </c>
    </row>
    <row r="2" spans="1:10" ht="15.75" thickBot="1" x14ac:dyDescent="0.3">
      <c r="A2" s="27" t="s">
        <v>15</v>
      </c>
      <c r="B2" s="28">
        <v>65448</v>
      </c>
      <c r="C2" s="29" t="s">
        <v>8</v>
      </c>
      <c r="F2" t="s">
        <v>13</v>
      </c>
      <c r="I2" s="3">
        <v>3.0000000000000001E-3</v>
      </c>
      <c r="J2" t="s">
        <v>14</v>
      </c>
    </row>
    <row r="3" spans="1:10" ht="15.75" thickBot="1" x14ac:dyDescent="0.3">
      <c r="A3" s="27" t="s">
        <v>7</v>
      </c>
      <c r="B3" s="28">
        <v>65448</v>
      </c>
      <c r="C3" s="29" t="s">
        <v>8</v>
      </c>
    </row>
    <row r="6" spans="1:10" x14ac:dyDescent="0.25">
      <c r="A6" s="51" t="s">
        <v>110</v>
      </c>
      <c r="B6" s="51" t="s">
        <v>11</v>
      </c>
      <c r="C6" s="51" t="s">
        <v>3</v>
      </c>
      <c r="D6" s="51"/>
      <c r="E6" s="52" t="s">
        <v>12</v>
      </c>
    </row>
    <row r="7" spans="1:10" x14ac:dyDescent="0.25">
      <c r="A7" s="51"/>
      <c r="B7" s="51"/>
      <c r="C7" s="4" t="s">
        <v>4</v>
      </c>
      <c r="D7" s="4" t="s">
        <v>5</v>
      </c>
      <c r="E7" s="52"/>
    </row>
    <row r="8" spans="1:10" x14ac:dyDescent="0.25">
      <c r="A8" s="5" t="s">
        <v>6</v>
      </c>
      <c r="B8" s="11">
        <f t="shared" ref="B8:B10" si="0">+SUM(C8:E8)</f>
        <v>285392.68799999997</v>
      </c>
      <c r="C8" s="11"/>
      <c r="D8" s="11"/>
      <c r="E8" s="11">
        <f>+B9</f>
        <v>285392.68799999997</v>
      </c>
    </row>
    <row r="9" spans="1:10" x14ac:dyDescent="0.25">
      <c r="A9" s="5" t="s">
        <v>10</v>
      </c>
      <c r="B9" s="11">
        <f t="shared" si="0"/>
        <v>285392.68799999997</v>
      </c>
      <c r="C9" s="11">
        <f>+B2*I2</f>
        <v>196.34399999999999</v>
      </c>
      <c r="D9" s="11"/>
      <c r="E9" s="11">
        <f>+B10</f>
        <v>285196.34399999998</v>
      </c>
    </row>
    <row r="10" spans="1:10" x14ac:dyDescent="0.25">
      <c r="A10" s="5" t="s">
        <v>9</v>
      </c>
      <c r="B10" s="11">
        <f t="shared" si="0"/>
        <v>285196.34399999998</v>
      </c>
      <c r="C10" s="11"/>
      <c r="D10" s="11"/>
      <c r="E10" s="11">
        <f>+B11</f>
        <v>285196.34399999998</v>
      </c>
    </row>
    <row r="11" spans="1:10" x14ac:dyDescent="0.25">
      <c r="A11" s="5" t="s">
        <v>7</v>
      </c>
      <c r="B11" s="11">
        <f>+SUM(C11:E11)</f>
        <v>285196.34399999998</v>
      </c>
      <c r="C11" s="11">
        <f>+B3*I2</f>
        <v>196.34399999999999</v>
      </c>
      <c r="E11" s="11">
        <f>+E12</f>
        <v>285000</v>
      </c>
    </row>
    <row r="12" spans="1:10" x14ac:dyDescent="0.25">
      <c r="A12" s="6" t="s">
        <v>17</v>
      </c>
      <c r="B12" s="12">
        <f>+B8</f>
        <v>285392.68799999997</v>
      </c>
      <c r="C12" s="12">
        <f>+SUM(C8:C11)</f>
        <v>392.68799999999999</v>
      </c>
      <c r="D12" s="12">
        <f>+SUM(D8:D11)</f>
        <v>0</v>
      </c>
      <c r="E12" s="12">
        <f>+I1*I2</f>
        <v>285000</v>
      </c>
      <c r="F12" t="s">
        <v>16</v>
      </c>
    </row>
    <row r="13" spans="1:10" x14ac:dyDescent="0.25">
      <c r="B13" s="7"/>
      <c r="C13" s="7"/>
      <c r="D13" s="7"/>
    </row>
    <row r="14" spans="1:10" x14ac:dyDescent="0.25">
      <c r="A14" t="s">
        <v>18</v>
      </c>
      <c r="B14"/>
      <c r="D14" s="1">
        <f>+B12</f>
        <v>285392.68799999997</v>
      </c>
      <c r="E14" t="s">
        <v>19</v>
      </c>
    </row>
    <row r="15" spans="1:10" x14ac:dyDescent="0.25">
      <c r="A15" t="s">
        <v>20</v>
      </c>
      <c r="B15"/>
      <c r="D15" s="1">
        <f>+B12-C12</f>
        <v>284999.99999999994</v>
      </c>
      <c r="E15" t="s">
        <v>19</v>
      </c>
    </row>
    <row r="16" spans="1:10" x14ac:dyDescent="0.25">
      <c r="A16" t="s">
        <v>21</v>
      </c>
      <c r="B16"/>
      <c r="D16" s="14">
        <f>+(SUM(C12:D12))/E12*100</f>
        <v>0.13778526315789472</v>
      </c>
      <c r="E16" t="s">
        <v>22</v>
      </c>
    </row>
    <row r="17" spans="1:5" x14ac:dyDescent="0.25">
      <c r="A17" t="s">
        <v>23</v>
      </c>
      <c r="B17"/>
      <c r="D17" s="14">
        <f>+D12/E12*100</f>
        <v>0</v>
      </c>
      <c r="E17" t="s">
        <v>22</v>
      </c>
    </row>
  </sheetData>
  <mergeCells count="4">
    <mergeCell ref="A6:A7"/>
    <mergeCell ref="B6:B7"/>
    <mergeCell ref="C6:D6"/>
    <mergeCell ref="E6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9"/>
  <sheetViews>
    <sheetView workbookViewId="0">
      <selection activeCell="A32" sqref="A32"/>
    </sheetView>
  </sheetViews>
  <sheetFormatPr baseColWidth="10" defaultRowHeight="15" x14ac:dyDescent="0.25"/>
  <cols>
    <col min="1" max="1" width="39.42578125" bestFit="1" customWidth="1"/>
    <col min="2" max="2" width="12.140625" customWidth="1"/>
    <col min="4" max="4" width="14.42578125" customWidth="1"/>
    <col min="5" max="5" width="9.7109375" customWidth="1"/>
  </cols>
  <sheetData>
    <row r="1" spans="1:6" x14ac:dyDescent="0.25">
      <c r="A1" t="s">
        <v>90</v>
      </c>
    </row>
    <row r="2" spans="1:6" x14ac:dyDescent="0.25">
      <c r="A2" t="s">
        <v>91</v>
      </c>
      <c r="B2">
        <v>303</v>
      </c>
      <c r="C2" t="s">
        <v>29</v>
      </c>
    </row>
    <row r="4" spans="1:6" x14ac:dyDescent="0.25">
      <c r="A4" t="s">
        <v>103</v>
      </c>
      <c r="B4">
        <v>4</v>
      </c>
      <c r="C4" t="s">
        <v>92</v>
      </c>
    </row>
    <row r="5" spans="1:6" x14ac:dyDescent="0.25">
      <c r="A5" t="s">
        <v>93</v>
      </c>
      <c r="D5" t="s">
        <v>97</v>
      </c>
    </row>
    <row r="6" spans="1:6" x14ac:dyDescent="0.25">
      <c r="A6" t="s">
        <v>30</v>
      </c>
      <c r="B6">
        <v>8</v>
      </c>
      <c r="C6" t="s">
        <v>33</v>
      </c>
      <c r="D6" t="s">
        <v>98</v>
      </c>
      <c r="E6">
        <f>+SUM(B6:B8)</f>
        <v>24</v>
      </c>
      <c r="F6" t="s">
        <v>33</v>
      </c>
    </row>
    <row r="7" spans="1:6" x14ac:dyDescent="0.25">
      <c r="A7" t="s">
        <v>31</v>
      </c>
      <c r="B7">
        <v>8</v>
      </c>
      <c r="C7" t="s">
        <v>33</v>
      </c>
      <c r="D7" t="s">
        <v>94</v>
      </c>
      <c r="E7">
        <f>+B9</f>
        <v>13</v>
      </c>
      <c r="F7" t="s">
        <v>33</v>
      </c>
    </row>
    <row r="8" spans="1:6" x14ac:dyDescent="0.25">
      <c r="A8" t="s">
        <v>32</v>
      </c>
      <c r="B8">
        <v>8</v>
      </c>
      <c r="C8" t="s">
        <v>33</v>
      </c>
    </row>
    <row r="9" spans="1:6" x14ac:dyDescent="0.25">
      <c r="A9" t="s">
        <v>94</v>
      </c>
      <c r="B9">
        <v>13</v>
      </c>
      <c r="C9" t="s">
        <v>33</v>
      </c>
    </row>
    <row r="13" spans="1:6" x14ac:dyDescent="0.25">
      <c r="A13" t="s">
        <v>99</v>
      </c>
      <c r="D13" t="s">
        <v>100</v>
      </c>
    </row>
    <row r="14" spans="1:6" x14ac:dyDescent="0.25">
      <c r="A14" t="s">
        <v>95</v>
      </c>
      <c r="B14">
        <v>47</v>
      </c>
      <c r="C14" t="s">
        <v>29</v>
      </c>
      <c r="D14" s="1">
        <f>+B14*$E$6</f>
        <v>1128</v>
      </c>
      <c r="E14" t="s">
        <v>33</v>
      </c>
    </row>
    <row r="15" spans="1:6" x14ac:dyDescent="0.25">
      <c r="A15" t="s">
        <v>96</v>
      </c>
      <c r="B15">
        <v>203</v>
      </c>
      <c r="C15" t="s">
        <v>29</v>
      </c>
      <c r="D15" s="1">
        <f>+B15*$E$6</f>
        <v>4872</v>
      </c>
      <c r="E15" t="s">
        <v>33</v>
      </c>
    </row>
    <row r="16" spans="1:6" x14ac:dyDescent="0.25">
      <c r="A16" t="s">
        <v>94</v>
      </c>
      <c r="B16">
        <v>53</v>
      </c>
      <c r="C16" t="s">
        <v>29</v>
      </c>
      <c r="D16" s="1">
        <f>+B16*E7</f>
        <v>689</v>
      </c>
      <c r="E16" t="s">
        <v>33</v>
      </c>
    </row>
    <row r="17" spans="1:5" x14ac:dyDescent="0.25">
      <c r="D17" s="1">
        <f>SUM(D14:D16)</f>
        <v>6689</v>
      </c>
      <c r="E17" t="s">
        <v>33</v>
      </c>
    </row>
    <row r="19" spans="1:5" x14ac:dyDescent="0.25">
      <c r="A19" s="8" t="s">
        <v>106</v>
      </c>
      <c r="B19" s="23">
        <f>+D17</f>
        <v>6689</v>
      </c>
      <c r="C19" s="8" t="s">
        <v>33</v>
      </c>
    </row>
    <row r="21" spans="1:5" x14ac:dyDescent="0.25">
      <c r="A21" t="s">
        <v>101</v>
      </c>
    </row>
    <row r="22" spans="1:5" x14ac:dyDescent="0.25">
      <c r="A22" t="s">
        <v>102</v>
      </c>
      <c r="B22" t="s">
        <v>95</v>
      </c>
    </row>
    <row r="23" spans="1:5" x14ac:dyDescent="0.25">
      <c r="A23" t="s">
        <v>84</v>
      </c>
      <c r="B23">
        <v>2</v>
      </c>
      <c r="C23" t="s">
        <v>33</v>
      </c>
    </row>
    <row r="24" spans="1:5" x14ac:dyDescent="0.25">
      <c r="A24" t="s">
        <v>104</v>
      </c>
      <c r="C24">
        <f>+B23*B14</f>
        <v>94</v>
      </c>
      <c r="D24" t="s">
        <v>33</v>
      </c>
    </row>
    <row r="26" spans="1:5" x14ac:dyDescent="0.25">
      <c r="A26" t="s">
        <v>105</v>
      </c>
      <c r="C26" s="1">
        <f>+D17-C24</f>
        <v>6595</v>
      </c>
      <c r="D26" t="s">
        <v>33</v>
      </c>
    </row>
    <row r="28" spans="1:5" x14ac:dyDescent="0.25">
      <c r="A28" s="8" t="s">
        <v>108</v>
      </c>
      <c r="B28" s="24">
        <f>+(B19/4)/3</f>
        <v>557.41666666666663</v>
      </c>
      <c r="C28" s="8" t="s">
        <v>33</v>
      </c>
    </row>
    <row r="29" spans="1:5" x14ac:dyDescent="0.25">
      <c r="A29" t="s">
        <v>107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6"/>
  <sheetViews>
    <sheetView workbookViewId="0">
      <selection activeCell="B12" sqref="B12"/>
    </sheetView>
  </sheetViews>
  <sheetFormatPr baseColWidth="10" defaultRowHeight="15" x14ac:dyDescent="0.25"/>
  <cols>
    <col min="2" max="2" width="33.5703125" customWidth="1"/>
    <col min="3" max="3" width="16.28515625" customWidth="1"/>
    <col min="4" max="6" width="15.5703125" customWidth="1"/>
    <col min="7" max="8" width="17.7109375" customWidth="1"/>
  </cols>
  <sheetData>
    <row r="1" spans="2:10" x14ac:dyDescent="0.25">
      <c r="B1" t="s">
        <v>0</v>
      </c>
      <c r="C1" s="2">
        <f>+'Ej1'!I1</f>
        <v>95000000</v>
      </c>
      <c r="D1" t="s">
        <v>1</v>
      </c>
    </row>
    <row r="2" spans="2:10" x14ac:dyDescent="0.25">
      <c r="B2" t="s">
        <v>13</v>
      </c>
      <c r="C2" s="3">
        <v>3.0000000000000001E-3</v>
      </c>
      <c r="D2" t="s">
        <v>14</v>
      </c>
    </row>
    <row r="3" spans="2:10" x14ac:dyDescent="0.25">
      <c r="B3" t="s">
        <v>34</v>
      </c>
      <c r="C3" s="1">
        <v>6689</v>
      </c>
      <c r="D3" t="s">
        <v>33</v>
      </c>
    </row>
    <row r="5" spans="2:10" ht="44.25" customHeight="1" x14ac:dyDescent="0.25">
      <c r="B5" s="9" t="s">
        <v>37</v>
      </c>
      <c r="C5" s="10" t="s">
        <v>38</v>
      </c>
      <c r="D5" s="10" t="s">
        <v>35</v>
      </c>
      <c r="E5" s="10" t="s">
        <v>36</v>
      </c>
      <c r="F5" s="10" t="s">
        <v>89</v>
      </c>
      <c r="G5" s="10" t="s">
        <v>42</v>
      </c>
    </row>
    <row r="6" spans="2:10" x14ac:dyDescent="0.25">
      <c r="B6" s="15" t="s">
        <v>6</v>
      </c>
      <c r="C6" s="11">
        <v>17640</v>
      </c>
      <c r="D6" s="5">
        <f>+$C$3</f>
        <v>6689</v>
      </c>
      <c r="E6" s="11">
        <f>+C6*D6</f>
        <v>117993960</v>
      </c>
      <c r="F6" s="25">
        <f>'Maquinas Especificaciones'!H16</f>
        <v>0.99681576952236539</v>
      </c>
      <c r="G6" s="11">
        <f>+E6*F6</f>
        <v>117618240.0363912</v>
      </c>
    </row>
    <row r="7" spans="2:10" x14ac:dyDescent="0.25">
      <c r="B7" s="15" t="s">
        <v>10</v>
      </c>
      <c r="C7" s="11">
        <v>18500</v>
      </c>
      <c r="D7" s="5">
        <f t="shared" ref="D7:D9" si="0">+$C$3</f>
        <v>6689</v>
      </c>
      <c r="E7" s="11">
        <f t="shared" ref="E7:E9" si="1">+C7*D7</f>
        <v>123746500</v>
      </c>
      <c r="F7" s="25">
        <f>'Maquinas Especificaciones'!H17</f>
        <v>0.998786959818044</v>
      </c>
      <c r="G7" s="11">
        <f>+E7*F7</f>
        <v>123596390.52312358</v>
      </c>
    </row>
    <row r="8" spans="2:10" x14ac:dyDescent="0.25">
      <c r="B8" s="15" t="s">
        <v>51</v>
      </c>
      <c r="C8" s="11">
        <v>15600</v>
      </c>
      <c r="D8" s="5">
        <f t="shared" si="0"/>
        <v>6689</v>
      </c>
      <c r="E8" s="11">
        <f t="shared" si="1"/>
        <v>104348400</v>
      </c>
      <c r="F8" s="25">
        <f>'Maquinas Especificaciones'!H18</f>
        <v>0.998786959818044</v>
      </c>
      <c r="G8" s="11">
        <f>+E8*F8</f>
        <v>104221821.19787718</v>
      </c>
    </row>
    <row r="9" spans="2:10" x14ac:dyDescent="0.25">
      <c r="B9" s="15" t="s">
        <v>7</v>
      </c>
      <c r="C9" s="11">
        <v>14400</v>
      </c>
      <c r="D9" s="5">
        <f t="shared" si="0"/>
        <v>6689</v>
      </c>
      <c r="E9" s="11">
        <f t="shared" si="1"/>
        <v>96321600</v>
      </c>
      <c r="F9" s="25">
        <f>'Maquinas Especificaciones'!H19</f>
        <v>0.98730098559514778</v>
      </c>
      <c r="G9" s="11">
        <f>+E9*F9</f>
        <v>95098410.614101589</v>
      </c>
    </row>
    <row r="10" spans="2:10" x14ac:dyDescent="0.25">
      <c r="J10" s="18"/>
    </row>
    <row r="16" spans="2:10" ht="30" x14ac:dyDescent="0.25">
      <c r="B16" s="9" t="s">
        <v>37</v>
      </c>
      <c r="C16" s="10" t="s">
        <v>39</v>
      </c>
      <c r="D16" s="10" t="s">
        <v>43</v>
      </c>
      <c r="E16" s="10" t="s">
        <v>40</v>
      </c>
      <c r="F16" s="10" t="s">
        <v>44</v>
      </c>
      <c r="G16" s="10" t="s">
        <v>41</v>
      </c>
    </row>
    <row r="17" spans="1:7" x14ac:dyDescent="0.25">
      <c r="A17" s="30">
        <f>+G17</f>
        <v>80.881074202918185</v>
      </c>
      <c r="B17" s="5" t="s">
        <v>6</v>
      </c>
      <c r="C17" s="11">
        <f>+'Ej1'!B8</f>
        <v>285392.68799999997</v>
      </c>
      <c r="D17" s="11">
        <f>+G6*$C$2</f>
        <v>352854.72010917362</v>
      </c>
      <c r="E17" s="5">
        <f>+ROUNDUP(+(C17/D17),0)</f>
        <v>1</v>
      </c>
      <c r="F17" s="11">
        <f>+D17*E17</f>
        <v>352854.72010917362</v>
      </c>
      <c r="G17" s="16">
        <f>+C17/F17*100</f>
        <v>80.881074202918185</v>
      </c>
    </row>
    <row r="18" spans="1:7" x14ac:dyDescent="0.25">
      <c r="A18" s="30">
        <f t="shared" ref="A18:A20" si="2">+G18</f>
        <v>76.968992053373924</v>
      </c>
      <c r="B18" s="5" t="s">
        <v>10</v>
      </c>
      <c r="C18" s="11">
        <f>+'Ej1'!B9</f>
        <v>285392.68799999997</v>
      </c>
      <c r="D18" s="11">
        <f>+G7*$C$2</f>
        <v>370789.17156937072</v>
      </c>
      <c r="E18" s="5">
        <f t="shared" ref="E18:E20" si="3">+ROUNDUP(+(C18/D18),0)</f>
        <v>1</v>
      </c>
      <c r="F18" s="11">
        <f t="shared" ref="F18:F20" si="4">+D18*E18</f>
        <v>370789.17156937072</v>
      </c>
      <c r="G18" s="16">
        <f t="shared" ref="G18:G20" si="5">+C18/F18*100</f>
        <v>76.968992053373924</v>
      </c>
    </row>
    <row r="19" spans="1:7" x14ac:dyDescent="0.25">
      <c r="A19" s="30">
        <f t="shared" si="2"/>
        <v>91.214533489591616</v>
      </c>
      <c r="B19" s="5" t="s">
        <v>51</v>
      </c>
      <c r="C19" s="11">
        <f>+'Ej1'!B10</f>
        <v>285196.34399999998</v>
      </c>
      <c r="D19" s="11">
        <f>+G8*$C$2</f>
        <v>312665.46359363158</v>
      </c>
      <c r="E19" s="5">
        <f t="shared" si="3"/>
        <v>1</v>
      </c>
      <c r="F19" s="11">
        <f t="shared" si="4"/>
        <v>312665.46359363158</v>
      </c>
      <c r="G19" s="16">
        <f t="shared" si="5"/>
        <v>91.214533489591616</v>
      </c>
    </row>
    <row r="20" spans="1:7" x14ac:dyDescent="0.25">
      <c r="A20" s="30">
        <f t="shared" si="2"/>
        <v>99.965338417447001</v>
      </c>
      <c r="B20" s="5" t="s">
        <v>7</v>
      </c>
      <c r="C20" s="11">
        <f>+'Ej1'!B11</f>
        <v>285196.34399999998</v>
      </c>
      <c r="D20" s="11">
        <f>+G9*$C$2</f>
        <v>285295.23184230475</v>
      </c>
      <c r="E20" s="5">
        <f t="shared" si="3"/>
        <v>1</v>
      </c>
      <c r="F20" s="11">
        <f t="shared" si="4"/>
        <v>285295.23184230475</v>
      </c>
      <c r="G20" s="16">
        <f t="shared" si="5"/>
        <v>99.965338417447001</v>
      </c>
    </row>
    <row r="22" spans="1:7" x14ac:dyDescent="0.25">
      <c r="G22" s="14"/>
    </row>
    <row r="23" spans="1:7" x14ac:dyDescent="0.25">
      <c r="C23" s="14"/>
    </row>
    <row r="25" spans="1:7" x14ac:dyDescent="0.25">
      <c r="B25" t="s">
        <v>45</v>
      </c>
      <c r="C25" t="str">
        <f>VLOOKUP(MAX($A$17:$A$20),$A$17:$G$20,2,)</f>
        <v>Impresión</v>
      </c>
    </row>
    <row r="26" spans="1:7" x14ac:dyDescent="0.25">
      <c r="B26" t="s">
        <v>46</v>
      </c>
      <c r="C26" s="1">
        <f>VLOOKUP(MAX($A$17:$A$20),$A$17:$G$20,6,)</f>
        <v>285295.23184230475</v>
      </c>
      <c r="D26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2"/>
  <sheetViews>
    <sheetView topLeftCell="A20" workbookViewId="0">
      <selection activeCell="A26" sqref="A26"/>
    </sheetView>
  </sheetViews>
  <sheetFormatPr baseColWidth="10" defaultRowHeight="15" x14ac:dyDescent="0.25"/>
  <cols>
    <col min="1" max="1" width="27.28515625" customWidth="1"/>
    <col min="2" max="2" width="12.85546875" bestFit="1" customWidth="1"/>
    <col min="7" max="7" width="20" customWidth="1"/>
    <col min="8" max="8" width="7.7109375" customWidth="1"/>
    <col min="10" max="10" width="5" bestFit="1" customWidth="1"/>
    <col min="11" max="11" width="3" bestFit="1" customWidth="1"/>
    <col min="12" max="12" width="7.7109375" customWidth="1"/>
    <col min="13" max="13" width="7.7109375" bestFit="1" customWidth="1"/>
    <col min="14" max="14" width="5.5703125" customWidth="1"/>
    <col min="15" max="15" width="3.28515625" customWidth="1"/>
    <col min="16" max="16" width="8.140625" customWidth="1"/>
    <col min="17" max="17" width="4.5703125" customWidth="1"/>
  </cols>
  <sheetData>
    <row r="1" spans="1:17" x14ac:dyDescent="0.25">
      <c r="A1" t="s">
        <v>48</v>
      </c>
      <c r="G1" t="s">
        <v>112</v>
      </c>
      <c r="H1">
        <v>52</v>
      </c>
      <c r="I1" t="s">
        <v>87</v>
      </c>
    </row>
    <row r="2" spans="1:17" x14ac:dyDescent="0.25">
      <c r="G2" t="s">
        <v>112</v>
      </c>
      <c r="H2">
        <f>+'Ej2'!B2</f>
        <v>303</v>
      </c>
      <c r="I2" t="s">
        <v>29</v>
      </c>
    </row>
    <row r="3" spans="1:17" x14ac:dyDescent="0.25">
      <c r="A3" s="8" t="s">
        <v>69</v>
      </c>
      <c r="G3" t="s">
        <v>113</v>
      </c>
      <c r="H3" s="1">
        <v>6595</v>
      </c>
    </row>
    <row r="4" spans="1:17" x14ac:dyDescent="0.25">
      <c r="A4" t="s">
        <v>25</v>
      </c>
      <c r="B4" s="19" t="s">
        <v>68</v>
      </c>
      <c r="C4" t="s">
        <v>70</v>
      </c>
    </row>
    <row r="5" spans="1:17" x14ac:dyDescent="0.25">
      <c r="A5" t="s">
        <v>67</v>
      </c>
      <c r="B5">
        <v>5.5</v>
      </c>
      <c r="C5" t="s">
        <v>63</v>
      </c>
    </row>
    <row r="6" spans="1:17" x14ac:dyDescent="0.25">
      <c r="G6" s="8" t="s">
        <v>111</v>
      </c>
      <c r="H6" s="53" t="s">
        <v>81</v>
      </c>
      <c r="I6" s="53"/>
      <c r="J6" s="53" t="s">
        <v>84</v>
      </c>
      <c r="K6" s="53"/>
      <c r="L6" s="53" t="s">
        <v>81</v>
      </c>
      <c r="M6" s="53"/>
      <c r="N6" s="53" t="s">
        <v>84</v>
      </c>
      <c r="O6" s="53"/>
      <c r="P6" s="53" t="s">
        <v>88</v>
      </c>
      <c r="Q6" s="53"/>
    </row>
    <row r="7" spans="1:17" x14ac:dyDescent="0.25">
      <c r="A7" s="8" t="s">
        <v>24</v>
      </c>
      <c r="G7" t="s">
        <v>24</v>
      </c>
      <c r="H7">
        <v>1</v>
      </c>
      <c r="I7" t="s">
        <v>82</v>
      </c>
      <c r="J7">
        <f>15/60</f>
        <v>0.25</v>
      </c>
      <c r="K7" t="s">
        <v>33</v>
      </c>
      <c r="L7">
        <v>1</v>
      </c>
      <c r="M7" t="s">
        <v>85</v>
      </c>
      <c r="N7" s="22">
        <v>8</v>
      </c>
      <c r="O7" t="s">
        <v>33</v>
      </c>
      <c r="P7">
        <f>+J7*H1+N7</f>
        <v>21</v>
      </c>
      <c r="Q7" t="s">
        <v>33</v>
      </c>
    </row>
    <row r="8" spans="1:17" x14ac:dyDescent="0.25">
      <c r="A8" t="s">
        <v>65</v>
      </c>
      <c r="B8">
        <v>16</v>
      </c>
      <c r="C8" t="s">
        <v>62</v>
      </c>
      <c r="G8" t="s">
        <v>50</v>
      </c>
      <c r="H8">
        <v>1</v>
      </c>
      <c r="I8" t="s">
        <v>83</v>
      </c>
      <c r="J8">
        <f>15/60</f>
        <v>0.25</v>
      </c>
      <c r="K8" t="s">
        <v>33</v>
      </c>
      <c r="L8">
        <v>1</v>
      </c>
      <c r="M8" t="s">
        <v>85</v>
      </c>
      <c r="N8" s="22">
        <v>8</v>
      </c>
      <c r="O8" t="s">
        <v>33</v>
      </c>
      <c r="P8">
        <f>+J8*H2+N8</f>
        <v>83.75</v>
      </c>
      <c r="Q8" t="s">
        <v>33</v>
      </c>
    </row>
    <row r="9" spans="1:17" x14ac:dyDescent="0.25">
      <c r="A9" t="s">
        <v>66</v>
      </c>
      <c r="B9">
        <v>15</v>
      </c>
      <c r="C9" t="s">
        <v>63</v>
      </c>
      <c r="G9" t="s">
        <v>49</v>
      </c>
      <c r="L9">
        <v>1</v>
      </c>
      <c r="M9" t="s">
        <v>85</v>
      </c>
      <c r="N9" s="22">
        <v>8</v>
      </c>
      <c r="O9" t="s">
        <v>33</v>
      </c>
      <c r="P9">
        <f>+N9</f>
        <v>8</v>
      </c>
      <c r="Q9" t="s">
        <v>33</v>
      </c>
    </row>
    <row r="10" spans="1:17" x14ac:dyDescent="0.25">
      <c r="A10" t="s">
        <v>64</v>
      </c>
      <c r="B10">
        <v>13</v>
      </c>
      <c r="C10" t="s">
        <v>63</v>
      </c>
      <c r="G10" t="s">
        <v>28</v>
      </c>
      <c r="L10">
        <v>1</v>
      </c>
      <c r="M10" t="s">
        <v>85</v>
      </c>
      <c r="N10" s="22">
        <v>8</v>
      </c>
      <c r="O10" t="s">
        <v>33</v>
      </c>
      <c r="P10" s="21">
        <f>+N10</f>
        <v>8</v>
      </c>
      <c r="Q10" t="s">
        <v>33</v>
      </c>
    </row>
    <row r="13" spans="1:17" x14ac:dyDescent="0.25">
      <c r="A13" s="8" t="s">
        <v>60</v>
      </c>
      <c r="G13" t="s">
        <v>114</v>
      </c>
    </row>
    <row r="14" spans="1:17" x14ac:dyDescent="0.25">
      <c r="A14" t="s">
        <v>61</v>
      </c>
      <c r="B14">
        <v>32</v>
      </c>
      <c r="C14" t="s">
        <v>2</v>
      </c>
    </row>
    <row r="15" spans="1:17" x14ac:dyDescent="0.25">
      <c r="A15" t="s">
        <v>80</v>
      </c>
      <c r="B15">
        <v>7</v>
      </c>
      <c r="C15" t="s">
        <v>27</v>
      </c>
      <c r="G15" s="8" t="s">
        <v>86</v>
      </c>
    </row>
    <row r="16" spans="1:17" x14ac:dyDescent="0.25">
      <c r="G16" t="s">
        <v>24</v>
      </c>
      <c r="H16" s="20">
        <f>+($H$3-P7)/$H$3</f>
        <v>0.99681576952236539</v>
      </c>
    </row>
    <row r="17" spans="1:8" x14ac:dyDescent="0.25">
      <c r="G17" t="s">
        <v>49</v>
      </c>
      <c r="H17" s="20">
        <f>+($H$3-P9)/$H$3</f>
        <v>0.998786959818044</v>
      </c>
    </row>
    <row r="18" spans="1:8" x14ac:dyDescent="0.25">
      <c r="A18" s="8" t="s">
        <v>49</v>
      </c>
      <c r="G18" t="s">
        <v>28</v>
      </c>
      <c r="H18" s="20">
        <f>+($H$3-P10)/$H$3</f>
        <v>0.998786959818044</v>
      </c>
    </row>
    <row r="19" spans="1:8" x14ac:dyDescent="0.25">
      <c r="A19" t="s">
        <v>52</v>
      </c>
      <c r="B19" s="1" t="s">
        <v>59</v>
      </c>
      <c r="C19" t="s">
        <v>26</v>
      </c>
      <c r="G19" t="s">
        <v>50</v>
      </c>
      <c r="H19" s="20">
        <f>+($H$3-P8)/$H$3</f>
        <v>0.98730098559514778</v>
      </c>
    </row>
    <row r="20" spans="1:8" x14ac:dyDescent="0.25">
      <c r="A20" t="s">
        <v>53</v>
      </c>
      <c r="B20" s="1">
        <v>1</v>
      </c>
      <c r="C20" t="s">
        <v>54</v>
      </c>
    </row>
    <row r="21" spans="1:8" x14ac:dyDescent="0.25">
      <c r="A21" t="s">
        <v>55</v>
      </c>
      <c r="B21" s="13">
        <v>0.7</v>
      </c>
      <c r="C21" t="s">
        <v>56</v>
      </c>
    </row>
    <row r="22" spans="1:8" x14ac:dyDescent="0.25">
      <c r="A22" t="s">
        <v>57</v>
      </c>
      <c r="B22" s="1">
        <v>600</v>
      </c>
      <c r="C22" t="s">
        <v>58</v>
      </c>
    </row>
    <row r="25" spans="1:8" x14ac:dyDescent="0.25">
      <c r="A25" s="8" t="s">
        <v>154</v>
      </c>
    </row>
    <row r="26" spans="1:8" x14ac:dyDescent="0.25">
      <c r="A26" t="s">
        <v>128</v>
      </c>
      <c r="B26" s="1">
        <v>15.7</v>
      </c>
      <c r="C26" t="s">
        <v>63</v>
      </c>
    </row>
    <row r="27" spans="1:8" x14ac:dyDescent="0.25">
      <c r="A27" t="s">
        <v>129</v>
      </c>
      <c r="B27" s="1">
        <v>0.8</v>
      </c>
      <c r="C27" t="s">
        <v>62</v>
      </c>
    </row>
    <row r="30" spans="1:8" x14ac:dyDescent="0.25">
      <c r="A30" s="8" t="s">
        <v>50</v>
      </c>
    </row>
    <row r="31" spans="1:8" x14ac:dyDescent="0.25">
      <c r="A31" t="s">
        <v>52</v>
      </c>
      <c r="B31" s="1">
        <v>14400</v>
      </c>
      <c r="C31" t="s">
        <v>26</v>
      </c>
    </row>
    <row r="32" spans="1:8" x14ac:dyDescent="0.25">
      <c r="A32" t="s">
        <v>53</v>
      </c>
      <c r="B32" s="1">
        <v>2</v>
      </c>
      <c r="C32" t="s">
        <v>54</v>
      </c>
    </row>
    <row r="33" spans="1:3" x14ac:dyDescent="0.25">
      <c r="A33" t="s">
        <v>55</v>
      </c>
      <c r="B33" s="13">
        <v>1.2</v>
      </c>
      <c r="C33" t="s">
        <v>56</v>
      </c>
    </row>
    <row r="34" spans="1:3" x14ac:dyDescent="0.25">
      <c r="A34" t="s">
        <v>57</v>
      </c>
      <c r="B34" s="1">
        <v>800</v>
      </c>
      <c r="C34" t="s">
        <v>58</v>
      </c>
    </row>
    <row r="35" spans="1:3" x14ac:dyDescent="0.25">
      <c r="C35" s="17"/>
    </row>
    <row r="36" spans="1:3" x14ac:dyDescent="0.25">
      <c r="C36" s="17"/>
    </row>
    <row r="37" spans="1:3" x14ac:dyDescent="0.25">
      <c r="A37" s="8" t="s">
        <v>71</v>
      </c>
      <c r="C37" s="17"/>
    </row>
    <row r="38" spans="1:3" x14ac:dyDescent="0.25">
      <c r="A38" t="s">
        <v>67</v>
      </c>
      <c r="B38" s="1">
        <v>5.5</v>
      </c>
      <c r="C38" t="s">
        <v>63</v>
      </c>
    </row>
    <row r="39" spans="1:3" x14ac:dyDescent="0.25">
      <c r="A39" t="s">
        <v>72</v>
      </c>
      <c r="B39" s="1">
        <v>1000</v>
      </c>
      <c r="C39" t="s">
        <v>73</v>
      </c>
    </row>
    <row r="40" spans="1:3" x14ac:dyDescent="0.25">
      <c r="A40" t="s">
        <v>74</v>
      </c>
      <c r="B40" s="13">
        <v>8</v>
      </c>
      <c r="C40" t="s">
        <v>75</v>
      </c>
    </row>
    <row r="41" spans="1:3" x14ac:dyDescent="0.25">
      <c r="A41" t="s">
        <v>77</v>
      </c>
      <c r="B41" s="1">
        <v>760</v>
      </c>
      <c r="C41" t="s">
        <v>76</v>
      </c>
    </row>
    <row r="42" spans="1:3" x14ac:dyDescent="0.25">
      <c r="A42" t="s">
        <v>79</v>
      </c>
      <c r="B42" s="1">
        <v>120</v>
      </c>
      <c r="C42" t="s">
        <v>78</v>
      </c>
    </row>
  </sheetData>
  <mergeCells count="5">
    <mergeCell ref="H6:I6"/>
    <mergeCell ref="J6:K6"/>
    <mergeCell ref="L6:M6"/>
    <mergeCell ref="N6:O6"/>
    <mergeCell ref="P6:Q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K4" sqref="K4"/>
    </sheetView>
  </sheetViews>
  <sheetFormatPr baseColWidth="10" defaultRowHeight="15" x14ac:dyDescent="0.25"/>
  <cols>
    <col min="1" max="1" width="27" bestFit="1" customWidth="1"/>
    <col min="7" max="7" width="15.28515625" bestFit="1" customWidth="1"/>
    <col min="9" max="9" width="18.7109375" customWidth="1"/>
  </cols>
  <sheetData>
    <row r="1" spans="1:11" x14ac:dyDescent="0.25">
      <c r="A1" s="8" t="s">
        <v>106</v>
      </c>
      <c r="B1" s="23">
        <f>+'Ej2'!B19</f>
        <v>6689</v>
      </c>
      <c r="C1" s="8" t="s">
        <v>33</v>
      </c>
    </row>
    <row r="2" spans="1:11" x14ac:dyDescent="0.25">
      <c r="A2" s="8"/>
      <c r="B2" s="23"/>
      <c r="C2" s="8"/>
    </row>
    <row r="3" spans="1:11" x14ac:dyDescent="0.25">
      <c r="A3" s="6" t="s">
        <v>115</v>
      </c>
      <c r="B3" s="57" t="s">
        <v>144</v>
      </c>
      <c r="C3" s="58"/>
      <c r="D3" s="57" t="s">
        <v>145</v>
      </c>
      <c r="E3" s="58"/>
      <c r="F3" s="57" t="s">
        <v>146</v>
      </c>
      <c r="G3" s="58"/>
      <c r="I3" t="s">
        <v>122</v>
      </c>
      <c r="J3" t="s">
        <v>155</v>
      </c>
      <c r="K3" t="s">
        <v>156</v>
      </c>
    </row>
    <row r="4" spans="1:11" x14ac:dyDescent="0.25">
      <c r="A4" s="5" t="s">
        <v>6</v>
      </c>
      <c r="B4" s="5">
        <v>50</v>
      </c>
      <c r="C4" s="5" t="s">
        <v>76</v>
      </c>
      <c r="D4" s="5">
        <f>+B4*60</f>
        <v>3000</v>
      </c>
      <c r="E4" s="5" t="s">
        <v>120</v>
      </c>
      <c r="F4" s="11">
        <f>+D4*'Ej2'!B19</f>
        <v>20067000</v>
      </c>
      <c r="G4" s="5" t="s">
        <v>78</v>
      </c>
      <c r="I4" t="s">
        <v>118</v>
      </c>
      <c r="J4">
        <v>5</v>
      </c>
      <c r="K4">
        <v>5</v>
      </c>
    </row>
    <row r="5" spans="1:11" x14ac:dyDescent="0.25">
      <c r="A5" s="5" t="s">
        <v>124</v>
      </c>
      <c r="B5" s="5">
        <v>9</v>
      </c>
      <c r="C5" s="5" t="s">
        <v>78</v>
      </c>
      <c r="D5" s="5">
        <f>+B5*J7</f>
        <v>540</v>
      </c>
      <c r="E5" s="5" t="s">
        <v>121</v>
      </c>
      <c r="F5" s="11">
        <f>+D5*'Ej2'!B14+D5*'Ej2'!B15</f>
        <v>135000</v>
      </c>
      <c r="G5" s="5" t="s">
        <v>78</v>
      </c>
      <c r="I5" t="s">
        <v>117</v>
      </c>
      <c r="J5">
        <v>4</v>
      </c>
      <c r="K5">
        <v>4</v>
      </c>
    </row>
    <row r="6" spans="1:11" x14ac:dyDescent="0.25">
      <c r="A6" s="5" t="s">
        <v>123</v>
      </c>
      <c r="B6" s="5">
        <v>9</v>
      </c>
      <c r="C6" s="5" t="s">
        <v>78</v>
      </c>
      <c r="D6" s="5">
        <f>+B6*K7</f>
        <v>180</v>
      </c>
      <c r="E6" s="5" t="s">
        <v>121</v>
      </c>
      <c r="F6" s="11">
        <f>+D6*'Ej2'!B16</f>
        <v>9540</v>
      </c>
      <c r="G6" s="5" t="s">
        <v>78</v>
      </c>
      <c r="I6" t="s">
        <v>119</v>
      </c>
      <c r="J6">
        <v>3</v>
      </c>
      <c r="K6">
        <v>1</v>
      </c>
    </row>
    <row r="7" spans="1:11" x14ac:dyDescent="0.25">
      <c r="A7" s="5" t="s">
        <v>116</v>
      </c>
      <c r="B7" s="5">
        <v>150</v>
      </c>
      <c r="C7" s="5" t="s">
        <v>78</v>
      </c>
      <c r="D7" s="5">
        <v>150</v>
      </c>
      <c r="E7" s="5" t="s">
        <v>121</v>
      </c>
      <c r="F7" s="11">
        <f>+D7*SUM('Ej2'!B14:B16)</f>
        <v>45450</v>
      </c>
      <c r="G7" s="5" t="s">
        <v>78</v>
      </c>
      <c r="J7">
        <f>+J4*J5*J6</f>
        <v>60</v>
      </c>
      <c r="K7">
        <f>+K4*K5</f>
        <v>20</v>
      </c>
    </row>
    <row r="8" spans="1:11" x14ac:dyDescent="0.25">
      <c r="A8" s="54" t="s">
        <v>150</v>
      </c>
      <c r="B8" s="55"/>
      <c r="C8" s="55"/>
      <c r="D8" s="55"/>
      <c r="E8" s="56"/>
      <c r="F8" s="12">
        <f>+SUM(F4:F7)/1000</f>
        <v>20256.990000000002</v>
      </c>
      <c r="G8" s="6" t="s">
        <v>125</v>
      </c>
    </row>
    <row r="9" spans="1:11" x14ac:dyDescent="0.25">
      <c r="F9" s="1"/>
    </row>
    <row r="10" spans="1:11" x14ac:dyDescent="0.25">
      <c r="A10" s="47" t="s">
        <v>126</v>
      </c>
      <c r="B10" s="57" t="s">
        <v>149</v>
      </c>
      <c r="C10" s="58"/>
      <c r="D10" s="57" t="s">
        <v>148</v>
      </c>
      <c r="E10" s="58"/>
      <c r="F10" s="57" t="s">
        <v>146</v>
      </c>
      <c r="G10" s="58"/>
    </row>
    <row r="11" spans="1:11" x14ac:dyDescent="0.25">
      <c r="A11" s="42" t="s">
        <v>69</v>
      </c>
      <c r="B11" s="48"/>
      <c r="C11" s="32"/>
      <c r="D11" s="44"/>
      <c r="E11" s="32"/>
      <c r="F11" s="32"/>
      <c r="G11" s="32"/>
    </row>
    <row r="12" spans="1:11" x14ac:dyDescent="0.25">
      <c r="A12" s="43" t="s">
        <v>67</v>
      </c>
      <c r="B12" s="48">
        <v>1</v>
      </c>
      <c r="C12" s="36" t="s">
        <v>2</v>
      </c>
      <c r="D12" s="45">
        <v>5.5</v>
      </c>
      <c r="E12" s="33" t="s">
        <v>147</v>
      </c>
      <c r="F12" s="34">
        <f>+D12*$B$1</f>
        <v>36789.5</v>
      </c>
      <c r="G12" s="33" t="s">
        <v>63</v>
      </c>
    </row>
    <row r="13" spans="1:11" x14ac:dyDescent="0.25">
      <c r="A13" s="42" t="s">
        <v>24</v>
      </c>
      <c r="B13" s="46"/>
      <c r="C13" s="32"/>
      <c r="D13" s="44"/>
      <c r="E13" s="32"/>
      <c r="F13" s="35"/>
      <c r="G13" s="32"/>
    </row>
    <row r="14" spans="1:11" x14ac:dyDescent="0.25">
      <c r="A14" s="48" t="s">
        <v>66</v>
      </c>
      <c r="B14" s="48">
        <v>1</v>
      </c>
      <c r="C14" s="36" t="s">
        <v>2</v>
      </c>
      <c r="D14" s="49">
        <v>15</v>
      </c>
      <c r="E14" s="36" t="s">
        <v>147</v>
      </c>
      <c r="F14" s="37">
        <f>+D14*$B$1</f>
        <v>100335</v>
      </c>
      <c r="G14" s="36" t="s">
        <v>63</v>
      </c>
    </row>
    <row r="15" spans="1:11" x14ac:dyDescent="0.25">
      <c r="A15" s="43" t="s">
        <v>64</v>
      </c>
      <c r="B15" s="43">
        <v>1</v>
      </c>
      <c r="C15" s="33" t="s">
        <v>2</v>
      </c>
      <c r="D15" s="45">
        <v>13</v>
      </c>
      <c r="E15" s="33" t="s">
        <v>147</v>
      </c>
      <c r="F15" s="34">
        <f>+D15*$B$1</f>
        <v>86957</v>
      </c>
      <c r="G15" s="33" t="s">
        <v>63</v>
      </c>
    </row>
    <row r="16" spans="1:11" x14ac:dyDescent="0.25">
      <c r="A16" s="42" t="s">
        <v>49</v>
      </c>
      <c r="B16" s="46"/>
      <c r="C16" s="32"/>
      <c r="D16" s="44"/>
      <c r="E16" s="32"/>
      <c r="F16" s="35"/>
      <c r="G16" s="32"/>
    </row>
    <row r="17" spans="1:7" x14ac:dyDescent="0.25">
      <c r="A17" s="43" t="s">
        <v>53</v>
      </c>
      <c r="B17" s="43">
        <v>1</v>
      </c>
      <c r="C17" s="33" t="s">
        <v>2</v>
      </c>
      <c r="D17" s="50">
        <v>1</v>
      </c>
      <c r="E17" s="33" t="s">
        <v>147</v>
      </c>
      <c r="F17" s="34">
        <f>+D17*$B$1</f>
        <v>6689</v>
      </c>
      <c r="G17" s="33" t="s">
        <v>63</v>
      </c>
    </row>
    <row r="18" spans="1:7" x14ac:dyDescent="0.25">
      <c r="A18" s="42" t="s">
        <v>127</v>
      </c>
      <c r="B18" s="46"/>
      <c r="C18" s="32"/>
      <c r="D18" s="44"/>
      <c r="E18" s="32"/>
      <c r="F18" s="35"/>
      <c r="G18" s="32"/>
    </row>
    <row r="19" spans="1:7" x14ac:dyDescent="0.25">
      <c r="A19" s="43" t="s">
        <v>128</v>
      </c>
      <c r="B19" s="43">
        <v>1</v>
      </c>
      <c r="C19" s="33" t="s">
        <v>2</v>
      </c>
      <c r="D19" s="50">
        <v>15.7</v>
      </c>
      <c r="E19" s="33" t="s">
        <v>147</v>
      </c>
      <c r="F19" s="34">
        <f>+D19*$B$1</f>
        <v>105017.29999999999</v>
      </c>
      <c r="G19" s="33" t="s">
        <v>63</v>
      </c>
    </row>
    <row r="20" spans="1:7" x14ac:dyDescent="0.25">
      <c r="A20" s="42" t="s">
        <v>50</v>
      </c>
      <c r="B20" s="46"/>
      <c r="C20" s="32"/>
      <c r="D20" s="44"/>
      <c r="E20" s="32"/>
      <c r="F20" s="35"/>
      <c r="G20" s="32"/>
    </row>
    <row r="21" spans="1:7" x14ac:dyDescent="0.25">
      <c r="A21" s="43" t="s">
        <v>53</v>
      </c>
      <c r="B21" s="43">
        <v>1</v>
      </c>
      <c r="C21" s="33" t="s">
        <v>2</v>
      </c>
      <c r="D21" s="50">
        <v>2</v>
      </c>
      <c r="E21" s="33" t="s">
        <v>147</v>
      </c>
      <c r="F21" s="34">
        <f>+D21*$B$1</f>
        <v>13378</v>
      </c>
      <c r="G21" s="33" t="s">
        <v>63</v>
      </c>
    </row>
    <row r="22" spans="1:7" x14ac:dyDescent="0.25">
      <c r="A22" s="42" t="s">
        <v>71</v>
      </c>
      <c r="B22" s="46"/>
      <c r="C22" s="32"/>
      <c r="D22" s="44"/>
      <c r="E22" s="38"/>
      <c r="F22" s="35"/>
      <c r="G22" s="32"/>
    </row>
    <row r="23" spans="1:7" x14ac:dyDescent="0.25">
      <c r="A23" s="43" t="s">
        <v>67</v>
      </c>
      <c r="B23" s="43">
        <v>1</v>
      </c>
      <c r="C23" s="33" t="s">
        <v>2</v>
      </c>
      <c r="D23" s="50">
        <v>5.5</v>
      </c>
      <c r="E23" s="33" t="s">
        <v>147</v>
      </c>
      <c r="F23" s="34">
        <f>+D23*$B$1</f>
        <v>36789.5</v>
      </c>
      <c r="G23" s="33" t="s">
        <v>63</v>
      </c>
    </row>
    <row r="24" spans="1:7" x14ac:dyDescent="0.25">
      <c r="A24" s="31" t="s">
        <v>130</v>
      </c>
      <c r="B24" s="41"/>
      <c r="C24" s="32"/>
      <c r="D24" s="32"/>
      <c r="E24" s="32"/>
      <c r="F24" s="35"/>
      <c r="G24" s="32"/>
    </row>
    <row r="25" spans="1:7" x14ac:dyDescent="0.25">
      <c r="A25" s="39" t="s">
        <v>131</v>
      </c>
      <c r="B25" s="36">
        <v>45</v>
      </c>
      <c r="C25" s="36" t="s">
        <v>2</v>
      </c>
      <c r="D25" s="37">
        <v>40</v>
      </c>
      <c r="E25" s="36" t="s">
        <v>137</v>
      </c>
      <c r="F25" s="37">
        <f>+(B25*D25*$B$1)/1000</f>
        <v>12040.2</v>
      </c>
      <c r="G25" s="36" t="s">
        <v>63</v>
      </c>
    </row>
    <row r="26" spans="1:7" x14ac:dyDescent="0.25">
      <c r="A26" s="39" t="s">
        <v>136</v>
      </c>
      <c r="B26" s="36">
        <v>1</v>
      </c>
      <c r="C26" s="36" t="s">
        <v>2</v>
      </c>
      <c r="D26" s="36">
        <v>575</v>
      </c>
      <c r="E26" s="36" t="s">
        <v>137</v>
      </c>
      <c r="F26" s="37">
        <f t="shared" ref="F26:F29" si="0">+(B26*D26*$B$1)/1000</f>
        <v>3846.1750000000002</v>
      </c>
      <c r="G26" s="36" t="s">
        <v>63</v>
      </c>
    </row>
    <row r="27" spans="1:7" x14ac:dyDescent="0.25">
      <c r="A27" s="39" t="s">
        <v>132</v>
      </c>
      <c r="B27" s="36">
        <v>3</v>
      </c>
      <c r="C27" s="36" t="s">
        <v>2</v>
      </c>
      <c r="D27" s="36">
        <v>60</v>
      </c>
      <c r="E27" s="36" t="s">
        <v>137</v>
      </c>
      <c r="F27" s="37">
        <f t="shared" si="0"/>
        <v>1204.02</v>
      </c>
      <c r="G27" s="36" t="s">
        <v>63</v>
      </c>
    </row>
    <row r="28" spans="1:7" x14ac:dyDescent="0.25">
      <c r="A28" s="39" t="s">
        <v>133</v>
      </c>
      <c r="B28" s="36">
        <v>3</v>
      </c>
      <c r="C28" s="36" t="s">
        <v>2</v>
      </c>
      <c r="D28" s="36">
        <v>935</v>
      </c>
      <c r="E28" s="36" t="s">
        <v>137</v>
      </c>
      <c r="F28" s="37">
        <f t="shared" si="0"/>
        <v>18762.645</v>
      </c>
      <c r="G28" s="36" t="s">
        <v>63</v>
      </c>
    </row>
    <row r="29" spans="1:7" x14ac:dyDescent="0.25">
      <c r="A29" s="40" t="s">
        <v>138</v>
      </c>
      <c r="B29" s="33">
        <v>6</v>
      </c>
      <c r="C29" s="33" t="s">
        <v>2</v>
      </c>
      <c r="D29" s="33">
        <v>25</v>
      </c>
      <c r="E29" s="33" t="s">
        <v>137</v>
      </c>
      <c r="F29" s="34">
        <f t="shared" si="0"/>
        <v>1003.35</v>
      </c>
      <c r="G29" s="33" t="s">
        <v>63</v>
      </c>
    </row>
    <row r="30" spans="1:7" x14ac:dyDescent="0.25">
      <c r="A30" s="54" t="s">
        <v>150</v>
      </c>
      <c r="B30" s="55"/>
      <c r="C30" s="55"/>
      <c r="D30" s="55"/>
      <c r="E30" s="56"/>
      <c r="F30" s="12">
        <f>+SUM(F12:F29)</f>
        <v>422811.69</v>
      </c>
      <c r="G30" s="6" t="s">
        <v>139</v>
      </c>
    </row>
    <row r="32" spans="1:7" x14ac:dyDescent="0.25">
      <c r="A32" s="6" t="s">
        <v>134</v>
      </c>
      <c r="B32" s="57" t="s">
        <v>151</v>
      </c>
      <c r="C32" s="58"/>
      <c r="D32" s="57" t="s">
        <v>152</v>
      </c>
      <c r="E32" s="58"/>
      <c r="F32" s="57" t="s">
        <v>153</v>
      </c>
      <c r="G32" s="58"/>
    </row>
    <row r="33" spans="1:7" x14ac:dyDescent="0.25">
      <c r="A33" s="5" t="s">
        <v>135</v>
      </c>
      <c r="B33" s="5">
        <v>0.27</v>
      </c>
      <c r="C33" s="5" t="s">
        <v>142</v>
      </c>
      <c r="D33" s="5">
        <f>+B33*SUM('Ej2'!$B$14:$B$16)</f>
        <v>81.81</v>
      </c>
      <c r="E33" s="5" t="s">
        <v>142</v>
      </c>
      <c r="F33" s="11">
        <f>+D33*6</f>
        <v>490.86</v>
      </c>
      <c r="G33" s="5" t="s">
        <v>142</v>
      </c>
    </row>
    <row r="34" spans="1:7" x14ac:dyDescent="0.25">
      <c r="A34" s="5" t="s">
        <v>140</v>
      </c>
      <c r="B34" s="5">
        <v>1.3</v>
      </c>
      <c r="C34" s="5" t="s">
        <v>142</v>
      </c>
      <c r="D34" s="5">
        <f>+B34*SUM('Ej2'!$B$14:$B$16)</f>
        <v>393.90000000000003</v>
      </c>
      <c r="E34" s="5" t="s">
        <v>142</v>
      </c>
      <c r="F34" s="11">
        <f t="shared" ref="F34:F35" si="1">+D34*6</f>
        <v>2363.4</v>
      </c>
      <c r="G34" s="5" t="s">
        <v>142</v>
      </c>
    </row>
    <row r="35" spans="1:7" x14ac:dyDescent="0.25">
      <c r="A35" s="5" t="s">
        <v>141</v>
      </c>
      <c r="B35" s="5">
        <v>5.16</v>
      </c>
      <c r="C35" s="5" t="s">
        <v>142</v>
      </c>
      <c r="D35" s="5">
        <f>+B35*SUM('Ej2'!$B$14:$B$16)</f>
        <v>1563.48</v>
      </c>
      <c r="E35" s="5" t="s">
        <v>142</v>
      </c>
      <c r="F35" s="11">
        <f t="shared" si="1"/>
        <v>9380.880000000001</v>
      </c>
      <c r="G35" s="5" t="s">
        <v>142</v>
      </c>
    </row>
    <row r="36" spans="1:7" x14ac:dyDescent="0.25">
      <c r="A36" s="54" t="s">
        <v>150</v>
      </c>
      <c r="B36" s="55"/>
      <c r="C36" s="55"/>
      <c r="D36" s="55"/>
      <c r="E36" s="56"/>
      <c r="F36" s="12">
        <f>SUM(F33:F35)</f>
        <v>12235.140000000001</v>
      </c>
      <c r="G36" s="6" t="s">
        <v>143</v>
      </c>
    </row>
  </sheetData>
  <mergeCells count="12">
    <mergeCell ref="B3:C3"/>
    <mergeCell ref="D3:E3"/>
    <mergeCell ref="F3:G3"/>
    <mergeCell ref="D10:E10"/>
    <mergeCell ref="F10:G10"/>
    <mergeCell ref="B10:C10"/>
    <mergeCell ref="A8:E8"/>
    <mergeCell ref="A30:E30"/>
    <mergeCell ref="B32:C32"/>
    <mergeCell ref="D32:E32"/>
    <mergeCell ref="F32:G32"/>
    <mergeCell ref="A36:E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Ej1</vt:lpstr>
      <vt:lpstr>Ej2</vt:lpstr>
      <vt:lpstr>Ej3-4-5</vt:lpstr>
      <vt:lpstr>Maquinas Especificaciones</vt:lpstr>
      <vt:lpstr>Consumos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2016-06-09T02:31:29Z</dcterms:created>
  <dcterms:modified xsi:type="dcterms:W3CDTF">2016-07-01T01:37:18Z</dcterms:modified>
</cp:coreProperties>
</file>