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nuel Contreras\Desktop\Cursada 2022\EDP\2do cuatri\Variación PV\"/>
    </mc:Choice>
  </mc:AlternateContent>
  <xr:revisionPtr revIDLastSave="0" documentId="13_ncr:1_{360FB082-AEF7-457C-8FC7-99595F1DCECC}" xr6:coauthVersionLast="47" xr6:coauthVersionMax="47" xr10:uidLastSave="{00000000-0000-0000-0000-000000000000}"/>
  <bookViews>
    <workbookView xWindow="-120" yWindow="-120" windowWidth="20730" windowHeight="11160" tabRatio="908" firstSheet="7" activeTab="20" xr2:uid="{00000000-000D-0000-FFFF-FFFF00000000}"/>
  </bookViews>
  <sheets>
    <sheet name="InfoInicial-CálcAux" sheetId="1" r:id="rId1"/>
    <sheet name="InfoInicial" sheetId="2" r:id="rId2"/>
    <sheet name="CA Inv AF y Am" sheetId="3" r:id="rId3"/>
    <sheet name="CA Inv AT" sheetId="4" r:id="rId4"/>
    <sheet name="Hoja1" sheetId="6" state="hidden" r:id="rId5"/>
    <sheet name="CA COSTOS" sheetId="7" r:id="rId6"/>
    <sheet name="E-Inv AF y Am" sheetId="5" r:id="rId7"/>
    <sheet name="E-Costos" sheetId="8" r:id="rId8"/>
    <sheet name="E-InvAT" sheetId="9" r:id="rId9"/>
    <sheet name="E-IVA " sheetId="10" r:id="rId10"/>
    <sheet name="E-Cal Inv." sheetId="11" r:id="rId11"/>
    <sheet name="E-Form" sheetId="12" r:id="rId12"/>
    <sheet name="Ej 50-66" sheetId="22" r:id="rId13"/>
    <sheet name="tecnico" sheetId="31" r:id="rId14"/>
    <sheet name="F-Cred" sheetId="21" r:id="rId15"/>
    <sheet name="F-CRes" sheetId="23" r:id="rId16"/>
    <sheet name="F-2 Estructura" sheetId="25" r:id="rId17"/>
    <sheet name="F-IVA" sheetId="26" r:id="rId18"/>
    <sheet name="F- CFyU" sheetId="27" r:id="rId19"/>
    <sheet name="F-Balance" sheetId="29" r:id="rId20"/>
    <sheet name="F- Form" sheetId="30" r:id="rId21"/>
    <sheet name="Análisis de riesgo" sheetId="20" state="hidden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4" roundtripDataSignature="AMtx7mhQNH7SE80Mu/9EI3UKcXC6kakpXw=="/>
    </ext>
  </extLst>
</workbook>
</file>

<file path=xl/calcChain.xml><?xml version="1.0" encoding="utf-8"?>
<calcChain xmlns="http://schemas.openxmlformats.org/spreadsheetml/2006/main">
  <c r="L6" i="1" l="1"/>
  <c r="M6" i="1"/>
  <c r="N6" i="1"/>
  <c r="O6" i="1"/>
  <c r="K6" i="1"/>
  <c r="D8" i="1"/>
  <c r="E8" i="1"/>
  <c r="F8" i="1"/>
  <c r="G8" i="1"/>
  <c r="C8" i="1"/>
  <c r="C13" i="30"/>
  <c r="D16" i="11"/>
  <c r="C32" i="9"/>
  <c r="C38" i="9"/>
  <c r="B15" i="22"/>
  <c r="H16" i="11"/>
  <c r="G16" i="11"/>
  <c r="F16" i="11"/>
  <c r="E16" i="11"/>
  <c r="D5" i="21"/>
  <c r="C126" i="8"/>
  <c r="D9" i="1"/>
  <c r="B16" i="22"/>
  <c r="B17" i="22" s="1"/>
  <c r="E22" i="22" s="1"/>
  <c r="B8" i="5"/>
  <c r="C8" i="5"/>
  <c r="B33" i="5"/>
  <c r="G62" i="22"/>
  <c r="B10" i="29"/>
  <c r="C26" i="30"/>
  <c r="D24" i="30"/>
  <c r="G7" i="23"/>
  <c r="F10" i="23"/>
  <c r="D29" i="30"/>
  <c r="D28" i="30"/>
  <c r="D27" i="30"/>
  <c r="D26" i="30"/>
  <c r="D25" i="30"/>
  <c r="B21" i="25"/>
  <c r="B34" i="9"/>
  <c r="B13" i="22"/>
  <c r="B8" i="29"/>
  <c r="G11" i="29"/>
  <c r="C34" i="29"/>
  <c r="C28" i="23"/>
  <c r="B16" i="26"/>
  <c r="E24" i="23"/>
  <c r="C20" i="21"/>
  <c r="C19" i="21"/>
  <c r="C5" i="22"/>
  <c r="G4" i="22"/>
  <c r="E4" i="22"/>
  <c r="E15" i="29"/>
  <c r="O18" i="21"/>
  <c r="P18" i="21"/>
  <c r="Q18" i="21"/>
  <c r="N18" i="21"/>
  <c r="H21" i="27"/>
  <c r="H23" i="27"/>
  <c r="F24" i="30"/>
  <c r="C27" i="30"/>
  <c r="C28" i="30"/>
  <c r="B16" i="5"/>
  <c r="C78" i="22"/>
  <c r="F78" i="22"/>
  <c r="L86" i="22" s="1"/>
  <c r="E90" i="22" s="1"/>
  <c r="C47" i="22"/>
  <c r="F47" i="22" s="1"/>
  <c r="J31" i="31"/>
  <c r="C21" i="31"/>
  <c r="J22" i="31" s="1"/>
  <c r="I17" i="31"/>
  <c r="I16" i="31"/>
  <c r="F29" i="31" s="1"/>
  <c r="F31" i="31" s="1"/>
  <c r="F34" i="31" s="1"/>
  <c r="I13" i="31"/>
  <c r="J10" i="31"/>
  <c r="E7" i="31"/>
  <c r="K6" i="31"/>
  <c r="J6" i="31"/>
  <c r="L6" i="31" s="1"/>
  <c r="K5" i="31"/>
  <c r="J5" i="31"/>
  <c r="L5" i="31" s="1"/>
  <c r="K4" i="31"/>
  <c r="L8" i="31" s="1"/>
  <c r="J4" i="31"/>
  <c r="L4" i="31" s="1"/>
  <c r="L7" i="31" s="1"/>
  <c r="N3" i="31"/>
  <c r="F15" i="29"/>
  <c r="G15" i="29"/>
  <c r="B9" i="29"/>
  <c r="B19" i="25"/>
  <c r="B18" i="25"/>
  <c r="B17" i="25"/>
  <c r="B13" i="25"/>
  <c r="D28" i="25"/>
  <c r="C6" i="25"/>
  <c r="I8" i="7"/>
  <c r="I5" i="7"/>
  <c r="I4" i="7"/>
  <c r="I6" i="7"/>
  <c r="I7" i="7"/>
  <c r="B8" i="27"/>
  <c r="C6" i="27"/>
  <c r="J4" i="7"/>
  <c r="E38" i="7"/>
  <c r="I9" i="7"/>
  <c r="H4" i="7"/>
  <c r="D6" i="3"/>
  <c r="D125" i="7"/>
  <c r="E5" i="1"/>
  <c r="F5" i="1"/>
  <c r="G5" i="1"/>
  <c r="D5" i="1"/>
  <c r="M3" i="1"/>
  <c r="N3" i="1"/>
  <c r="O3" i="1"/>
  <c r="L3" i="1"/>
  <c r="M12" i="1"/>
  <c r="H33" i="8"/>
  <c r="C64" i="8"/>
  <c r="E64" i="8"/>
  <c r="J29" i="8"/>
  <c r="C33" i="8" s="1"/>
  <c r="D33" i="8" s="1"/>
  <c r="D133" i="7"/>
  <c r="D132" i="7"/>
  <c r="D131" i="7"/>
  <c r="J7" i="7"/>
  <c r="K20" i="1"/>
  <c r="C7" i="1"/>
  <c r="G22" i="1"/>
  <c r="H9" i="7"/>
  <c r="H34" i="8"/>
  <c r="D126" i="7"/>
  <c r="L17" i="1"/>
  <c r="C10" i="1"/>
  <c r="E37" i="3"/>
  <c r="D85" i="3"/>
  <c r="D68" i="7"/>
  <c r="D61" i="7"/>
  <c r="E61" i="7"/>
  <c r="C62" i="7"/>
  <c r="E36" i="3"/>
  <c r="E35" i="3"/>
  <c r="E34" i="3"/>
  <c r="D28" i="3"/>
  <c r="D15" i="3"/>
  <c r="D13" i="3"/>
  <c r="D12" i="3"/>
  <c r="D11" i="3"/>
  <c r="H7" i="7"/>
  <c r="H5" i="7"/>
  <c r="B11" i="7"/>
  <c r="B10" i="9"/>
  <c r="C10" i="4"/>
  <c r="D129" i="7"/>
  <c r="E11" i="3"/>
  <c r="F4" i="4"/>
  <c r="D4" i="4"/>
  <c r="D49" i="3"/>
  <c r="D41" i="3"/>
  <c r="D42" i="3"/>
  <c r="D43" i="3"/>
  <c r="D44" i="3"/>
  <c r="E6" i="3"/>
  <c r="D86" i="3"/>
  <c r="C86" i="3"/>
  <c r="C85" i="3"/>
  <c r="D84" i="3"/>
  <c r="C84" i="3"/>
  <c r="E84" i="3" s="1"/>
  <c r="E85" i="3"/>
  <c r="E86" i="3"/>
  <c r="L14" i="1"/>
  <c r="O12" i="1"/>
  <c r="F21" i="11"/>
  <c r="E21" i="11"/>
  <c r="E75" i="3"/>
  <c r="G31" i="1"/>
  <c r="C27" i="1"/>
  <c r="E73" i="3" s="1"/>
  <c r="C180" i="7"/>
  <c r="D180" i="7" s="1"/>
  <c r="E180" i="7" s="1"/>
  <c r="D5" i="4"/>
  <c r="N72" i="7"/>
  <c r="O72" i="7" s="1"/>
  <c r="N71" i="7"/>
  <c r="O71" i="7" s="1"/>
  <c r="N69" i="7"/>
  <c r="O69" i="7" s="1"/>
  <c r="N67" i="7"/>
  <c r="O67" i="7" s="1"/>
  <c r="N68" i="7"/>
  <c r="O68" i="7" s="1"/>
  <c r="S71" i="7"/>
  <c r="O78" i="7"/>
  <c r="M54" i="7"/>
  <c r="N54" i="7" s="1"/>
  <c r="M56" i="7"/>
  <c r="M58" i="7"/>
  <c r="M57" i="7"/>
  <c r="D64" i="3"/>
  <c r="C109" i="7" s="1"/>
  <c r="D109" i="7" s="1"/>
  <c r="C90" i="8" s="1"/>
  <c r="C89" i="8"/>
  <c r="C69" i="8"/>
  <c r="E39" i="7"/>
  <c r="E40" i="7"/>
  <c r="L28" i="1"/>
  <c r="H103" i="7"/>
  <c r="H104" i="7"/>
  <c r="J104" i="7"/>
  <c r="G6" i="1"/>
  <c r="G7" i="1" s="1"/>
  <c r="F6" i="1"/>
  <c r="F7" i="1" s="1"/>
  <c r="E6" i="1"/>
  <c r="E7" i="1" s="1"/>
  <c r="D6" i="1"/>
  <c r="D7" i="1" s="1"/>
  <c r="C6" i="1"/>
  <c r="D7" i="4"/>
  <c r="B2" i="4"/>
  <c r="M7" i="1"/>
  <c r="N7" i="1"/>
  <c r="O7" i="1"/>
  <c r="L4" i="1"/>
  <c r="M4" i="1"/>
  <c r="M5" i="1" s="1"/>
  <c r="E106" i="8" s="1"/>
  <c r="N4" i="1"/>
  <c r="N5" i="1" s="1"/>
  <c r="F106" i="8" s="1"/>
  <c r="O4" i="1"/>
  <c r="O5" i="1" s="1"/>
  <c r="G106" i="8" s="1"/>
  <c r="K4" i="1"/>
  <c r="K3" i="1"/>
  <c r="C1" i="1"/>
  <c r="E9" i="1"/>
  <c r="F9" i="1"/>
  <c r="G9" i="1"/>
  <c r="C9" i="1"/>
  <c r="C107" i="8"/>
  <c r="B7" i="11"/>
  <c r="M20" i="12"/>
  <c r="M70" i="7"/>
  <c r="N70" i="7" s="1"/>
  <c r="O70" i="7" s="1"/>
  <c r="K76" i="7"/>
  <c r="N64" i="7"/>
  <c r="N62" i="7"/>
  <c r="O54" i="7"/>
  <c r="M92" i="7"/>
  <c r="M60" i="7"/>
  <c r="M59" i="7"/>
  <c r="D66" i="3"/>
  <c r="D68" i="3"/>
  <c r="B28" i="5" s="1"/>
  <c r="C45" i="5"/>
  <c r="C54" i="5"/>
  <c r="C47" i="5"/>
  <c r="C48" i="5"/>
  <c r="C49" i="5"/>
  <c r="C50" i="5"/>
  <c r="C51" i="5"/>
  <c r="C46" i="5"/>
  <c r="C29" i="5"/>
  <c r="E49" i="3"/>
  <c r="B12" i="5" s="1"/>
  <c r="C37" i="3"/>
  <c r="E15" i="7"/>
  <c r="G15" i="7" s="1"/>
  <c r="E18" i="7"/>
  <c r="G18" i="7" s="1"/>
  <c r="B25" i="5"/>
  <c r="D45" i="3"/>
  <c r="M26" i="1"/>
  <c r="L26" i="1"/>
  <c r="M19" i="1"/>
  <c r="M30" i="1" s="1"/>
  <c r="M18" i="1"/>
  <c r="M17" i="1"/>
  <c r="M16" i="1"/>
  <c r="G23" i="1" s="1"/>
  <c r="M14" i="1"/>
  <c r="M25" i="1" s="1"/>
  <c r="M13" i="1"/>
  <c r="M24" i="1" s="1"/>
  <c r="M23" i="1"/>
  <c r="L19" i="1"/>
  <c r="L30" i="1" s="1"/>
  <c r="L18" i="1"/>
  <c r="L16" i="1"/>
  <c r="L13" i="1"/>
  <c r="L24" i="1" s="1"/>
  <c r="L12" i="1"/>
  <c r="L23" i="1" s="1"/>
  <c r="D46" i="3"/>
  <c r="B14" i="2"/>
  <c r="C45" i="3"/>
  <c r="E45" i="3" s="1"/>
  <c r="C44" i="3"/>
  <c r="E44" i="3" s="1"/>
  <c r="C43" i="3"/>
  <c r="E43" i="3" s="1"/>
  <c r="C42" i="3"/>
  <c r="E42" i="3" s="1"/>
  <c r="C41" i="3"/>
  <c r="C17" i="1"/>
  <c r="N55" i="7"/>
  <c r="O55" i="7" s="1"/>
  <c r="N56" i="7"/>
  <c r="N57" i="7"/>
  <c r="N58" i="7"/>
  <c r="N59" i="7"/>
  <c r="N60" i="7"/>
  <c r="N61" i="7"/>
  <c r="N63" i="7"/>
  <c r="N65" i="7"/>
  <c r="N66" i="7"/>
  <c r="E37" i="7"/>
  <c r="J15" i="7"/>
  <c r="E27" i="7"/>
  <c r="G27" i="7" s="1"/>
  <c r="E20" i="7"/>
  <c r="G20" i="7" s="1"/>
  <c r="E16" i="7"/>
  <c r="G16" i="7" s="1"/>
  <c r="J5" i="7"/>
  <c r="B34" i="2"/>
  <c r="E33" i="3"/>
  <c r="D24" i="3"/>
  <c r="D29" i="3"/>
  <c r="D30" i="3"/>
  <c r="D31" i="3"/>
  <c r="D32" i="3"/>
  <c r="B13" i="21" l="1"/>
  <c r="B14" i="21"/>
  <c r="M59" i="22"/>
  <c r="D58" i="22"/>
  <c r="I88" i="22"/>
  <c r="D86" i="22"/>
  <c r="D57" i="22"/>
  <c r="D55" i="22"/>
  <c r="M11" i="31"/>
  <c r="J9" i="31"/>
  <c r="K27" i="31"/>
  <c r="I31" i="31" s="1"/>
  <c r="J25" i="31"/>
  <c r="E30" i="31"/>
  <c r="F30" i="31" s="1"/>
  <c r="I14" i="31"/>
  <c r="F33" i="31"/>
  <c r="E33" i="31"/>
  <c r="B17" i="5"/>
  <c r="G91" i="8"/>
  <c r="D91" i="8"/>
  <c r="E91" i="8"/>
  <c r="F91" i="8"/>
  <c r="C91" i="8"/>
  <c r="E87" i="3"/>
  <c r="E78" i="3"/>
  <c r="E79" i="3" s="1"/>
  <c r="L29" i="1"/>
  <c r="C10" i="9"/>
  <c r="M29" i="1"/>
  <c r="D10" i="9"/>
  <c r="B46" i="5"/>
  <c r="F5" i="4"/>
  <c r="G64" i="8"/>
  <c r="F64" i="8"/>
  <c r="D64" i="8"/>
  <c r="H105" i="7"/>
  <c r="C100" i="7" s="1"/>
  <c r="D100" i="7" s="1"/>
  <c r="C70" i="8" s="1"/>
  <c r="O8" i="1"/>
  <c r="N8" i="1"/>
  <c r="M8" i="1"/>
  <c r="K7" i="1"/>
  <c r="K5" i="1"/>
  <c r="C106" i="8" s="1"/>
  <c r="L7" i="1"/>
  <c r="L5" i="1"/>
  <c r="D106" i="8" s="1"/>
  <c r="D154" i="7"/>
  <c r="L25" i="1"/>
  <c r="L27" i="1"/>
  <c r="D155" i="7"/>
  <c r="M27" i="1"/>
  <c r="D128" i="7"/>
  <c r="M28" i="1"/>
  <c r="E41" i="3"/>
  <c r="C46" i="3"/>
  <c r="E46" i="3"/>
  <c r="B11" i="5" s="1"/>
  <c r="O66" i="7"/>
  <c r="O65" i="7"/>
  <c r="O64" i="7"/>
  <c r="O63" i="7"/>
  <c r="O62" i="7"/>
  <c r="O61" i="7"/>
  <c r="O60" i="7"/>
  <c r="O59" i="7"/>
  <c r="O58" i="7"/>
  <c r="O57" i="7"/>
  <c r="O56" i="7"/>
  <c r="B11" i="9"/>
  <c r="E22" i="21" l="1"/>
  <c r="E24" i="21"/>
  <c r="E26" i="21"/>
  <c r="E28" i="21"/>
  <c r="E20" i="21"/>
  <c r="F31" i="21"/>
  <c r="F32" i="21" s="1"/>
  <c r="B14" i="22"/>
  <c r="B9" i="9"/>
  <c r="D87" i="22"/>
  <c r="D89" i="22" s="1"/>
  <c r="D90" i="22" s="1"/>
  <c r="D91" i="22" s="1"/>
  <c r="I86" i="22"/>
  <c r="C9" i="27"/>
  <c r="F87" i="22"/>
  <c r="F88" i="22" s="1"/>
  <c r="H88" i="22" s="1"/>
  <c r="J88" i="22"/>
  <c r="E91" i="22"/>
  <c r="E92" i="22"/>
  <c r="E93" i="22"/>
  <c r="E94" i="22"/>
  <c r="E95" i="22"/>
  <c r="E96" i="22"/>
  <c r="E97" i="22"/>
  <c r="E98" i="22"/>
  <c r="E99" i="22"/>
  <c r="G99" i="22" s="1"/>
  <c r="D60" i="22"/>
  <c r="D61" i="22"/>
  <c r="D62" i="22" s="1"/>
  <c r="E62" i="22"/>
  <c r="C21" i="21" s="1"/>
  <c r="E63" i="22"/>
  <c r="E64" i="22"/>
  <c r="C23" i="21" s="1"/>
  <c r="E65" i="22"/>
  <c r="E66" i="22"/>
  <c r="C25" i="21" s="1"/>
  <c r="E67" i="22"/>
  <c r="C26" i="21" s="1"/>
  <c r="E68" i="22"/>
  <c r="C27" i="21" s="1"/>
  <c r="E69" i="22"/>
  <c r="C28" i="21" s="1"/>
  <c r="I56" i="22"/>
  <c r="I57" i="22"/>
  <c r="I55" i="22"/>
  <c r="F56" i="22"/>
  <c r="D56" i="22"/>
  <c r="K31" i="31"/>
  <c r="I32" i="31"/>
  <c r="E31" i="31"/>
  <c r="E34" i="31" s="1"/>
  <c r="J20" i="31"/>
  <c r="I15" i="31"/>
  <c r="E29" i="31" s="1"/>
  <c r="B13" i="5"/>
  <c r="B14" i="5"/>
  <c r="B9" i="5"/>
  <c r="B47" i="5" s="1"/>
  <c r="E46" i="5"/>
  <c r="D46" i="5"/>
  <c r="G46" i="5" s="1"/>
  <c r="F7" i="4"/>
  <c r="L8" i="1"/>
  <c r="K8" i="1"/>
  <c r="C53" i="20"/>
  <c r="J50" i="20"/>
  <c r="J49" i="20"/>
  <c r="L48" i="20"/>
  <c r="J48" i="20"/>
  <c r="L47" i="20"/>
  <c r="J47" i="20"/>
  <c r="J40" i="20"/>
  <c r="J39" i="20"/>
  <c r="J38" i="20"/>
  <c r="C35" i="20"/>
  <c r="J34" i="20"/>
  <c r="C24" i="20"/>
  <c r="K23" i="20"/>
  <c r="I23" i="20"/>
  <c r="C15" i="20"/>
  <c r="K14" i="20"/>
  <c r="I14" i="20"/>
  <c r="K4" i="12"/>
  <c r="G1" i="12"/>
  <c r="H8" i="11"/>
  <c r="G8" i="11"/>
  <c r="G21" i="11" s="1"/>
  <c r="F8" i="11"/>
  <c r="E8" i="11"/>
  <c r="G1" i="11"/>
  <c r="G9" i="10"/>
  <c r="F9" i="10"/>
  <c r="E9" i="10"/>
  <c r="D9" i="10"/>
  <c r="C9" i="10"/>
  <c r="G1" i="10"/>
  <c r="E1" i="9"/>
  <c r="G127" i="8"/>
  <c r="F127" i="8"/>
  <c r="E127" i="8"/>
  <c r="D127" i="8"/>
  <c r="C127" i="8"/>
  <c r="G111" i="8"/>
  <c r="F111" i="8"/>
  <c r="E111" i="8"/>
  <c r="D111" i="8"/>
  <c r="C111" i="8"/>
  <c r="D107" i="8"/>
  <c r="E107" i="8" s="1"/>
  <c r="F107" i="8" s="1"/>
  <c r="G107" i="8" s="1"/>
  <c r="G89" i="8"/>
  <c r="F89" i="8"/>
  <c r="E89" i="8"/>
  <c r="D89" i="8"/>
  <c r="G69" i="8"/>
  <c r="F69" i="8"/>
  <c r="E69" i="8"/>
  <c r="D69" i="8"/>
  <c r="G15" i="8"/>
  <c r="F15" i="8"/>
  <c r="E15" i="8"/>
  <c r="D15" i="8"/>
  <c r="C15" i="8"/>
  <c r="F2" i="8"/>
  <c r="C16" i="8"/>
  <c r="J28" i="7"/>
  <c r="E28" i="7"/>
  <c r="D138" i="7" s="1"/>
  <c r="J27" i="7"/>
  <c r="J24" i="7"/>
  <c r="E24" i="7"/>
  <c r="G24" i="7" s="1"/>
  <c r="J26" i="7"/>
  <c r="E26" i="7"/>
  <c r="G26" i="7" s="1"/>
  <c r="J23" i="7"/>
  <c r="E23" i="7"/>
  <c r="G23" i="7" s="1"/>
  <c r="J22" i="7"/>
  <c r="E22" i="7"/>
  <c r="G22" i="7" s="1"/>
  <c r="J21" i="7"/>
  <c r="E21" i="7"/>
  <c r="G21" i="7" s="1"/>
  <c r="J20" i="7"/>
  <c r="J19" i="7"/>
  <c r="E19" i="7"/>
  <c r="G19" i="7" s="1"/>
  <c r="J18" i="7"/>
  <c r="J25" i="7"/>
  <c r="E25" i="7"/>
  <c r="G25" i="7" s="1"/>
  <c r="J17" i="7"/>
  <c r="E17" i="7"/>
  <c r="G17" i="7" s="1"/>
  <c r="J16" i="7"/>
  <c r="J29" i="7" s="1"/>
  <c r="J8" i="7"/>
  <c r="J6" i="7"/>
  <c r="C7" i="8"/>
  <c r="J9" i="7"/>
  <c r="D38" i="5"/>
  <c r="D35" i="5"/>
  <c r="D59" i="3"/>
  <c r="B26" i="5" s="1"/>
  <c r="D37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B36" i="2"/>
  <c r="C24" i="21" l="1"/>
  <c r="G66" i="22"/>
  <c r="C22" i="21"/>
  <c r="G64" i="22"/>
  <c r="D63" i="22"/>
  <c r="D64" i="22" s="1"/>
  <c r="D65" i="22" s="1"/>
  <c r="D66" i="22" s="1"/>
  <c r="D67" i="22" s="1"/>
  <c r="D68" i="22" s="1"/>
  <c r="D69" i="22" s="1"/>
  <c r="D70" i="22" s="1"/>
  <c r="B27" i="29"/>
  <c r="B25" i="29" s="1"/>
  <c r="C19" i="27"/>
  <c r="E30" i="21"/>
  <c r="B29" i="29" s="1"/>
  <c r="G19" i="27"/>
  <c r="F27" i="29"/>
  <c r="E27" i="29"/>
  <c r="F19" i="27"/>
  <c r="D27" i="29"/>
  <c r="E19" i="27"/>
  <c r="G27" i="29"/>
  <c r="C27" i="29"/>
  <c r="D19" i="27"/>
  <c r="B21" i="22"/>
  <c r="B22" i="22"/>
  <c r="B23" i="22"/>
  <c r="B24" i="22"/>
  <c r="B25" i="22"/>
  <c r="B26" i="22"/>
  <c r="B27" i="22"/>
  <c r="B28" i="22"/>
  <c r="B29" i="22"/>
  <c r="B30" i="22"/>
  <c r="B31" i="22"/>
  <c r="B20" i="22"/>
  <c r="E101" i="22"/>
  <c r="G97" i="22"/>
  <c r="G95" i="22"/>
  <c r="G93" i="22"/>
  <c r="D92" i="22"/>
  <c r="D93" i="22" s="1"/>
  <c r="D94" i="22" s="1"/>
  <c r="D95" i="22" s="1"/>
  <c r="D96" i="22" s="1"/>
  <c r="D97" i="22" s="1"/>
  <c r="D98" i="22" s="1"/>
  <c r="D99" i="22" s="1"/>
  <c r="D100" i="22" s="1"/>
  <c r="F57" i="22"/>
  <c r="I59" i="22"/>
  <c r="G68" i="22"/>
  <c r="F61" i="22"/>
  <c r="C30" i="21"/>
  <c r="G70" i="22"/>
  <c r="G71" i="22"/>
  <c r="E71" i="22"/>
  <c r="F62" i="22"/>
  <c r="J62" i="22" s="1"/>
  <c r="G91" i="22"/>
  <c r="G101" i="22" s="1"/>
  <c r="F90" i="22"/>
  <c r="D36" i="31"/>
  <c r="J24" i="31"/>
  <c r="I33" i="31"/>
  <c r="I44" i="31"/>
  <c r="D7" i="8"/>
  <c r="D6" i="10" s="1"/>
  <c r="C6" i="10"/>
  <c r="E33" i="8"/>
  <c r="F33" i="8" s="1"/>
  <c r="G33" i="8" s="1"/>
  <c r="D47" i="5"/>
  <c r="E47" i="5"/>
  <c r="G47" i="5"/>
  <c r="B31" i="5"/>
  <c r="C7" i="11" s="1"/>
  <c r="B48" i="5"/>
  <c r="C30" i="9"/>
  <c r="D14" i="11"/>
  <c r="C14" i="11"/>
  <c r="B30" i="9"/>
  <c r="I15" i="7"/>
  <c r="F84" i="7"/>
  <c r="G28" i="7"/>
  <c r="D139" i="7"/>
  <c r="D140" i="7" s="1"/>
  <c r="I84" i="7"/>
  <c r="H84" i="7"/>
  <c r="J84" i="7"/>
  <c r="G84" i="7"/>
  <c r="G29" i="7"/>
  <c r="F85" i="7" s="1"/>
  <c r="O73" i="7"/>
  <c r="D55" i="7" s="1"/>
  <c r="E55" i="7" s="1"/>
  <c r="F55" i="7" s="1"/>
  <c r="G55" i="7" s="1"/>
  <c r="D158" i="7" s="1"/>
  <c r="D161" i="7" s="1"/>
  <c r="F70" i="8"/>
  <c r="G70" i="8"/>
  <c r="G16" i="8"/>
  <c r="E15" i="3"/>
  <c r="D90" i="8"/>
  <c r="G90" i="8"/>
  <c r="F90" i="8"/>
  <c r="E90" i="8"/>
  <c r="B19" i="5"/>
  <c r="D110" i="8"/>
  <c r="D114" i="8" s="1"/>
  <c r="G110" i="8"/>
  <c r="F110" i="8"/>
  <c r="F114" i="8" s="1"/>
  <c r="E110" i="8"/>
  <c r="E114" i="8" s="1"/>
  <c r="D16" i="8"/>
  <c r="D70" i="8"/>
  <c r="C110" i="8"/>
  <c r="C114" i="8" s="1"/>
  <c r="E16" i="8"/>
  <c r="E70" i="8"/>
  <c r="F16" i="8"/>
  <c r="E14" i="11"/>
  <c r="D30" i="9"/>
  <c r="E10" i="9"/>
  <c r="H21" i="11"/>
  <c r="H62" i="22" l="1"/>
  <c r="J61" i="22"/>
  <c r="B28" i="29"/>
  <c r="C29" i="29"/>
  <c r="D29" i="29" s="1"/>
  <c r="B4" i="23"/>
  <c r="C6" i="9"/>
  <c r="E6" i="9"/>
  <c r="E7" i="29" s="1"/>
  <c r="F6" i="9"/>
  <c r="F7" i="29" s="1"/>
  <c r="D6" i="9"/>
  <c r="D7" i="29" s="1"/>
  <c r="C21" i="22"/>
  <c r="C22" i="22"/>
  <c r="C23" i="22"/>
  <c r="C24" i="22"/>
  <c r="C25" i="22"/>
  <c r="C26" i="22"/>
  <c r="C27" i="22"/>
  <c r="C28" i="22"/>
  <c r="C29" i="22"/>
  <c r="C30" i="22"/>
  <c r="C31" i="22"/>
  <c r="C20" i="22"/>
  <c r="I14" i="21"/>
  <c r="I18" i="21" s="1"/>
  <c r="I30" i="21" s="1"/>
  <c r="B30" i="25"/>
  <c r="D30" i="25" s="1"/>
  <c r="F58" i="22"/>
  <c r="F59" i="22" s="1"/>
  <c r="F91" i="22"/>
  <c r="J90" i="22"/>
  <c r="F63" i="22"/>
  <c r="K44" i="31"/>
  <c r="F35" i="31"/>
  <c r="E35" i="31"/>
  <c r="E36" i="31" s="1"/>
  <c r="F36" i="31" s="1"/>
  <c r="D4" i="23"/>
  <c r="E10" i="27" s="1"/>
  <c r="E4" i="23"/>
  <c r="F10" i="27" s="1"/>
  <c r="C4" i="23"/>
  <c r="D10" i="27" s="1"/>
  <c r="C22" i="10"/>
  <c r="C13" i="26" s="1"/>
  <c r="C10" i="27"/>
  <c r="B21" i="5"/>
  <c r="B35" i="5" s="1"/>
  <c r="C85" i="8"/>
  <c r="C7" i="9"/>
  <c r="D12" i="11" s="1"/>
  <c r="E85" i="8"/>
  <c r="E22" i="10"/>
  <c r="E13" i="26" s="1"/>
  <c r="E7" i="9"/>
  <c r="F85" i="8"/>
  <c r="F22" i="10"/>
  <c r="F13" i="26" s="1"/>
  <c r="F7" i="9"/>
  <c r="D85" i="8"/>
  <c r="D22" i="10"/>
  <c r="D13" i="26" s="1"/>
  <c r="D7" i="9"/>
  <c r="D48" i="5"/>
  <c r="E48" i="5"/>
  <c r="G48" i="5"/>
  <c r="D165" i="7"/>
  <c r="C116" i="8"/>
  <c r="J85" i="7"/>
  <c r="D137" i="7"/>
  <c r="D141" i="7" s="1"/>
  <c r="E141" i="7"/>
  <c r="C8" i="8"/>
  <c r="I25" i="7"/>
  <c r="D146" i="7" s="1"/>
  <c r="B50" i="5"/>
  <c r="D50" i="5" s="1"/>
  <c r="B51" i="5"/>
  <c r="B52" i="5" s="1"/>
  <c r="D51" i="5"/>
  <c r="E51" i="5"/>
  <c r="G51" i="5"/>
  <c r="J83" i="7"/>
  <c r="J82" i="7"/>
  <c r="J86" i="7"/>
  <c r="C8" i="11"/>
  <c r="C21" i="11" s="1"/>
  <c r="B166" i="8"/>
  <c r="A52" i="25" s="1"/>
  <c r="F14" i="11"/>
  <c r="F10" i="9"/>
  <c r="E30" i="9"/>
  <c r="G114" i="8"/>
  <c r="E11" i="11"/>
  <c r="G85" i="7"/>
  <c r="I85" i="7"/>
  <c r="H85" i="7"/>
  <c r="D147" i="7"/>
  <c r="E147" i="7" s="1"/>
  <c r="E146" i="7"/>
  <c r="F146" i="7" s="1"/>
  <c r="C37" i="8" s="1"/>
  <c r="G138" i="7"/>
  <c r="F28" i="9"/>
  <c r="C117" i="8"/>
  <c r="C34" i="8"/>
  <c r="D34" i="8" s="1"/>
  <c r="E34" i="8" s="1"/>
  <c r="F34" i="8" s="1"/>
  <c r="G34" i="8" s="1"/>
  <c r="C98" i="25" l="1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52" i="25"/>
  <c r="D9" i="29"/>
  <c r="E12" i="11"/>
  <c r="F9" i="29"/>
  <c r="G12" i="11"/>
  <c r="E9" i="29"/>
  <c r="F12" i="11"/>
  <c r="B19" i="21"/>
  <c r="B20" i="21" s="1"/>
  <c r="J63" i="22"/>
  <c r="B21" i="21"/>
  <c r="B22" i="21" s="1"/>
  <c r="F22" i="21"/>
  <c r="F20" i="21"/>
  <c r="E29" i="29"/>
  <c r="D28" i="29"/>
  <c r="G6" i="9"/>
  <c r="G7" i="29" s="1"/>
  <c r="D167" i="8"/>
  <c r="D170" i="8"/>
  <c r="B6" i="9"/>
  <c r="C12" i="25" s="1"/>
  <c r="C7" i="29"/>
  <c r="D11" i="11"/>
  <c r="B23" i="21"/>
  <c r="B24" i="21" s="1"/>
  <c r="C9" i="29"/>
  <c r="C13" i="25"/>
  <c r="D13" i="25" s="1"/>
  <c r="D21" i="21"/>
  <c r="D20" i="21"/>
  <c r="D19" i="21"/>
  <c r="C114" i="22"/>
  <c r="C21" i="23" s="1"/>
  <c r="C115" i="22"/>
  <c r="C22" i="23" s="1"/>
  <c r="C116" i="22"/>
  <c r="C23" i="23" s="1"/>
  <c r="C117" i="22"/>
  <c r="C24" i="23" s="1"/>
  <c r="C113" i="22"/>
  <c r="E21" i="22"/>
  <c r="E23" i="22"/>
  <c r="E24" i="22"/>
  <c r="E25" i="22"/>
  <c r="E26" i="22"/>
  <c r="E27" i="22"/>
  <c r="E28" i="22"/>
  <c r="E29" i="22"/>
  <c r="E30" i="22"/>
  <c r="E31" i="22"/>
  <c r="E20" i="22"/>
  <c r="D18" i="21"/>
  <c r="H59" i="22"/>
  <c r="B9" i="27"/>
  <c r="H9" i="27" s="1"/>
  <c r="B4" i="12"/>
  <c r="B6" i="11"/>
  <c r="B8" i="11" s="1"/>
  <c r="B6" i="25"/>
  <c r="B19" i="29" s="1"/>
  <c r="B22" i="29" s="1"/>
  <c r="C19" i="29" s="1"/>
  <c r="F64" i="22"/>
  <c r="F92" i="22"/>
  <c r="J91" i="22"/>
  <c r="H91" i="22"/>
  <c r="D113" i="22" s="1"/>
  <c r="D20" i="23" s="1"/>
  <c r="F4" i="23"/>
  <c r="G4" i="23" s="1"/>
  <c r="B21" i="11"/>
  <c r="B23" i="11" s="1"/>
  <c r="B25" i="11"/>
  <c r="G85" i="8"/>
  <c r="G22" i="10"/>
  <c r="G13" i="26" s="1"/>
  <c r="G7" i="9"/>
  <c r="D28" i="9"/>
  <c r="E28" i="9"/>
  <c r="C28" i="9"/>
  <c r="F83" i="7"/>
  <c r="F147" i="7"/>
  <c r="D37" i="8" s="1"/>
  <c r="E37" i="8" s="1"/>
  <c r="F37" i="8" s="1"/>
  <c r="G37" i="8" s="1"/>
  <c r="C11" i="8"/>
  <c r="D11" i="8" s="1"/>
  <c r="D8" i="8"/>
  <c r="B36" i="5"/>
  <c r="D52" i="5"/>
  <c r="E50" i="5"/>
  <c r="E52" i="5" s="1"/>
  <c r="G50" i="5"/>
  <c r="G52" i="5" s="1"/>
  <c r="E11" i="8"/>
  <c r="F11" i="8" s="1"/>
  <c r="G11" i="8" s="1"/>
  <c r="J89" i="7"/>
  <c r="K89" i="7" s="1"/>
  <c r="J87" i="7"/>
  <c r="K87" i="7" s="1"/>
  <c r="J88" i="7"/>
  <c r="E158" i="7"/>
  <c r="F158" i="7" s="1"/>
  <c r="D159" i="7"/>
  <c r="E159" i="7" s="1"/>
  <c r="F159" i="7" s="1"/>
  <c r="G140" i="7"/>
  <c r="G139" i="7"/>
  <c r="F11" i="11"/>
  <c r="F30" i="9"/>
  <c r="G10" i="9"/>
  <c r="G14" i="11"/>
  <c r="D186" i="8"/>
  <c r="F140" i="22" s="1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69" i="8"/>
  <c r="D168" i="8"/>
  <c r="D117" i="8"/>
  <c r="E166" i="7"/>
  <c r="F166" i="7" s="1"/>
  <c r="G166" i="7" s="1"/>
  <c r="H166" i="7" s="1"/>
  <c r="E8" i="8"/>
  <c r="G28" i="9"/>
  <c r="B191" i="8"/>
  <c r="A78" i="25" s="1"/>
  <c r="G9" i="29" l="1"/>
  <c r="H12" i="11"/>
  <c r="G10" i="27"/>
  <c r="H10" i="27" s="1"/>
  <c r="E33" i="22"/>
  <c r="E35" i="22" s="1"/>
  <c r="D6" i="21" s="1"/>
  <c r="E26" i="29"/>
  <c r="G26" i="29"/>
  <c r="G25" i="29" s="1"/>
  <c r="C26" i="29"/>
  <c r="C29" i="25"/>
  <c r="C118" i="22"/>
  <c r="C20" i="23"/>
  <c r="G21" i="29"/>
  <c r="F21" i="29"/>
  <c r="D21" i="29"/>
  <c r="E21" i="29"/>
  <c r="C21" i="29"/>
  <c r="J64" i="22"/>
  <c r="H64" i="22"/>
  <c r="D22" i="21"/>
  <c r="G22" i="21" s="1"/>
  <c r="G20" i="21"/>
  <c r="B25" i="21"/>
  <c r="B26" i="21" s="1"/>
  <c r="F24" i="21"/>
  <c r="F29" i="29"/>
  <c r="E28" i="29"/>
  <c r="B7" i="29"/>
  <c r="B15" i="9"/>
  <c r="C11" i="11"/>
  <c r="B12" i="25"/>
  <c r="D12" i="25" s="1"/>
  <c r="D8" i="21"/>
  <c r="C40" i="21"/>
  <c r="C39" i="21"/>
  <c r="G14" i="21"/>
  <c r="J59" i="22"/>
  <c r="B113" i="22" s="1"/>
  <c r="B20" i="23" s="1"/>
  <c r="B114" i="22"/>
  <c r="B21" i="23" s="1"/>
  <c r="B115" i="22"/>
  <c r="B22" i="23" s="1"/>
  <c r="B38" i="5"/>
  <c r="C22" i="29"/>
  <c r="D19" i="29" s="1"/>
  <c r="D6" i="25"/>
  <c r="F93" i="22"/>
  <c r="J92" i="22"/>
  <c r="F65" i="22"/>
  <c r="G141" i="7"/>
  <c r="D166" i="7"/>
  <c r="G11" i="11"/>
  <c r="E117" i="8"/>
  <c r="F8" i="8"/>
  <c r="D210" i="8"/>
  <c r="D206" i="8"/>
  <c r="D211" i="8"/>
  <c r="D207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208" i="8"/>
  <c r="D204" i="8"/>
  <c r="D209" i="8"/>
  <c r="D205" i="8"/>
  <c r="G30" i="9"/>
  <c r="H14" i="11"/>
  <c r="I14" i="11" s="1"/>
  <c r="D26" i="29" l="1"/>
  <c r="D25" i="29" s="1"/>
  <c r="D30" i="29" s="1"/>
  <c r="C25" i="29"/>
  <c r="F26" i="29"/>
  <c r="F25" i="29" s="1"/>
  <c r="E25" i="29"/>
  <c r="E30" i="29" s="1"/>
  <c r="J65" i="22"/>
  <c r="D23" i="21"/>
  <c r="F28" i="29"/>
  <c r="F30" i="29" s="1"/>
  <c r="G29" i="29"/>
  <c r="G28" i="29" s="1"/>
  <c r="G30" i="29" s="1"/>
  <c r="B27" i="21"/>
  <c r="B28" i="21" s="1"/>
  <c r="F26" i="21"/>
  <c r="H20" i="21"/>
  <c r="I6" i="30"/>
  <c r="H22" i="21"/>
  <c r="I7" i="30"/>
  <c r="B30" i="29"/>
  <c r="F142" i="22"/>
  <c r="F143" i="22"/>
  <c r="F144" i="22"/>
  <c r="F141" i="22"/>
  <c r="C28" i="29"/>
  <c r="C30" i="29" s="1"/>
  <c r="D103" i="22"/>
  <c r="H14" i="21"/>
  <c r="G18" i="21"/>
  <c r="B118" i="22"/>
  <c r="H127" i="22" s="1"/>
  <c r="E113" i="22"/>
  <c r="D22" i="29"/>
  <c r="F66" i="22"/>
  <c r="F94" i="22"/>
  <c r="J93" i="22"/>
  <c r="H93" i="22"/>
  <c r="D114" i="22" s="1"/>
  <c r="D21" i="23" s="1"/>
  <c r="E20" i="23" s="1"/>
  <c r="B10" i="23" s="1"/>
  <c r="H11" i="11"/>
  <c r="F117" i="8"/>
  <c r="G8" i="8"/>
  <c r="G117" i="8" s="1"/>
  <c r="J66" i="22" l="1"/>
  <c r="D24" i="21"/>
  <c r="G24" i="21" s="1"/>
  <c r="H66" i="22"/>
  <c r="B29" i="21"/>
  <c r="F28" i="21"/>
  <c r="F30" i="21" s="1"/>
  <c r="I5" i="30"/>
  <c r="B7" i="25"/>
  <c r="B41" i="21"/>
  <c r="B40" i="21"/>
  <c r="B33" i="21"/>
  <c r="E19" i="29"/>
  <c r="E22" i="29" s="1"/>
  <c r="F19" i="29" s="1"/>
  <c r="F22" i="29" s="1"/>
  <c r="G19" i="29" s="1"/>
  <c r="G22" i="29" s="1"/>
  <c r="B43" i="25"/>
  <c r="B18" i="21"/>
  <c r="E40" i="21"/>
  <c r="B39" i="21"/>
  <c r="E114" i="22"/>
  <c r="E140" i="22"/>
  <c r="F95" i="22"/>
  <c r="J94" i="22"/>
  <c r="F67" i="22"/>
  <c r="F82" i="7"/>
  <c r="F86" i="7" s="1"/>
  <c r="F87" i="7" s="1"/>
  <c r="C12" i="8" s="1"/>
  <c r="C7" i="10" s="1"/>
  <c r="I83" i="7"/>
  <c r="H83" i="7"/>
  <c r="I82" i="7"/>
  <c r="G83" i="7"/>
  <c r="H82" i="7"/>
  <c r="G82" i="7"/>
  <c r="I11" i="11"/>
  <c r="J67" i="22" l="1"/>
  <c r="D25" i="21"/>
  <c r="H24" i="21"/>
  <c r="I8" i="30"/>
  <c r="C41" i="21"/>
  <c r="K18" i="21"/>
  <c r="B8" i="25"/>
  <c r="B14" i="29"/>
  <c r="B17" i="29" s="1"/>
  <c r="C14" i="29" s="1"/>
  <c r="L5" i="30"/>
  <c r="C9" i="26"/>
  <c r="B44" i="21"/>
  <c r="E39" i="21"/>
  <c r="E141" i="22"/>
  <c r="F68" i="22"/>
  <c r="F96" i="22"/>
  <c r="J95" i="22"/>
  <c r="H95" i="22"/>
  <c r="D115" i="22" s="1"/>
  <c r="D22" i="23" s="1"/>
  <c r="E21" i="23" s="1"/>
  <c r="C10" i="23" s="1"/>
  <c r="I6" i="11"/>
  <c r="J68" i="22" l="1"/>
  <c r="D26" i="21"/>
  <c r="G26" i="21" s="1"/>
  <c r="B9" i="25"/>
  <c r="B15" i="27"/>
  <c r="B5" i="30" s="1"/>
  <c r="E115" i="22"/>
  <c r="C43" i="25"/>
  <c r="D9" i="26" s="1"/>
  <c r="F97" i="22"/>
  <c r="J96" i="22"/>
  <c r="H68" i="22"/>
  <c r="F69" i="22"/>
  <c r="C25" i="20"/>
  <c r="D35" i="20" s="1"/>
  <c r="C16" i="20"/>
  <c r="D53" i="20" s="1"/>
  <c r="J69" i="22" l="1"/>
  <c r="D27" i="21"/>
  <c r="H26" i="21"/>
  <c r="I9" i="30"/>
  <c r="C42" i="21"/>
  <c r="B33" i="25"/>
  <c r="B17" i="26" s="1"/>
  <c r="B10" i="25"/>
  <c r="B25" i="25" s="1"/>
  <c r="E142" i="22"/>
  <c r="F70" i="22"/>
  <c r="F98" i="22"/>
  <c r="J97" i="22"/>
  <c r="H97" i="22"/>
  <c r="D116" i="22" s="1"/>
  <c r="D23" i="23" s="1"/>
  <c r="E22" i="23" s="1"/>
  <c r="D10" i="23" s="1"/>
  <c r="C23" i="20"/>
  <c r="B35" i="20" s="1"/>
  <c r="C14" i="20"/>
  <c r="B53" i="20" s="1"/>
  <c r="J70" i="22" l="1"/>
  <c r="D28" i="21"/>
  <c r="G28" i="21" s="1"/>
  <c r="E116" i="22"/>
  <c r="D30" i="21"/>
  <c r="D43" i="25"/>
  <c r="E9" i="26" s="1"/>
  <c r="E41" i="21"/>
  <c r="F99" i="22"/>
  <c r="J98" i="22"/>
  <c r="F101" i="22"/>
  <c r="F71" i="22"/>
  <c r="J71" i="22"/>
  <c r="H70" i="22"/>
  <c r="H71" i="22" s="1"/>
  <c r="G86" i="7"/>
  <c r="G88" i="7"/>
  <c r="D87" i="8"/>
  <c r="D19" i="10" s="1"/>
  <c r="D8" i="26" s="1"/>
  <c r="H86" i="7"/>
  <c r="H87" i="7"/>
  <c r="E12" i="8" s="1"/>
  <c r="E7" i="10" s="1"/>
  <c r="J95" i="7"/>
  <c r="E7" i="8"/>
  <c r="E6" i="10" s="1"/>
  <c r="F7" i="8"/>
  <c r="F6" i="10" s="1"/>
  <c r="I86" i="7"/>
  <c r="H28" i="21" l="1"/>
  <c r="I10" i="30"/>
  <c r="I12" i="30" s="1"/>
  <c r="C43" i="21"/>
  <c r="G30" i="21"/>
  <c r="H19" i="27"/>
  <c r="B30" i="21"/>
  <c r="E143" i="22"/>
  <c r="J99" i="22"/>
  <c r="J101" i="22" s="1"/>
  <c r="H99" i="22"/>
  <c r="H89" i="7"/>
  <c r="E66" i="8" s="1"/>
  <c r="H88" i="7"/>
  <c r="E87" i="8" s="1"/>
  <c r="E19" i="10" s="1"/>
  <c r="E8" i="26" s="1"/>
  <c r="I87" i="7"/>
  <c r="F12" i="8" s="1"/>
  <c r="F7" i="10" s="1"/>
  <c r="I89" i="7"/>
  <c r="F66" i="8" s="1"/>
  <c r="I88" i="7"/>
  <c r="F87" i="8" s="1"/>
  <c r="F19" i="10" s="1"/>
  <c r="F8" i="26" s="1"/>
  <c r="F116" i="8"/>
  <c r="G7" i="8"/>
  <c r="G6" i="10" s="1"/>
  <c r="E116" i="8"/>
  <c r="D116" i="8"/>
  <c r="G89" i="7"/>
  <c r="D66" i="8" s="1"/>
  <c r="G87" i="7"/>
  <c r="H101" i="22" l="1"/>
  <c r="D117" i="22"/>
  <c r="D24" i="23" s="1"/>
  <c r="E23" i="23" s="1"/>
  <c r="E10" i="23" s="1"/>
  <c r="G10" i="23" s="1"/>
  <c r="E43" i="25"/>
  <c r="F9" i="26" s="1"/>
  <c r="D151" i="7"/>
  <c r="E151" i="7" s="1"/>
  <c r="D12" i="8"/>
  <c r="D7" i="10" s="1"/>
  <c r="G116" i="8"/>
  <c r="E117" i="22" l="1"/>
  <c r="D118" i="22"/>
  <c r="F151" i="7"/>
  <c r="D38" i="8" s="1"/>
  <c r="E144" i="22" l="1"/>
  <c r="E118" i="22"/>
  <c r="G12" i="8"/>
  <c r="G7" i="10" s="1"/>
  <c r="F43" i="25" l="1"/>
  <c r="G9" i="26" s="1"/>
  <c r="E38" i="8"/>
  <c r="F38" i="8" s="1"/>
  <c r="G38" i="8" s="1"/>
  <c r="E170" i="7"/>
  <c r="F170" i="7" s="1"/>
  <c r="G170" i="7" s="1"/>
  <c r="H170" i="7" s="1"/>
  <c r="K88" i="7" l="1"/>
  <c r="G66" i="8"/>
  <c r="G87" i="8"/>
  <c r="G19" i="10" s="1"/>
  <c r="G8" i="26" s="1"/>
  <c r="K90" i="7" l="1"/>
  <c r="C11" i="9" s="1"/>
  <c r="C31" i="9"/>
  <c r="D11" i="9"/>
  <c r="D15" i="11"/>
  <c r="D31" i="9" l="1"/>
  <c r="C15" i="11"/>
  <c r="C18" i="11" s="1"/>
  <c r="E15" i="11"/>
  <c r="E11" i="9"/>
  <c r="B14" i="25" l="1"/>
  <c r="B15" i="25"/>
  <c r="B22" i="9"/>
  <c r="C22" i="11"/>
  <c r="C23" i="11" s="1"/>
  <c r="B24" i="9"/>
  <c r="B16" i="27" s="1"/>
  <c r="B25" i="9"/>
  <c r="B36" i="9" s="1"/>
  <c r="E31" i="9"/>
  <c r="F15" i="11"/>
  <c r="F11" i="9"/>
  <c r="B22" i="25" l="1"/>
  <c r="B20" i="25"/>
  <c r="B23" i="25" s="1"/>
  <c r="C5" i="30"/>
  <c r="B26" i="10"/>
  <c r="F31" i="9"/>
  <c r="G15" i="11"/>
  <c r="G11" i="9"/>
  <c r="C4" i="12"/>
  <c r="B27" i="10" l="1"/>
  <c r="C25" i="11"/>
  <c r="D4" i="12"/>
  <c r="G31" i="9"/>
  <c r="H15" i="11"/>
  <c r="B26" i="25" l="1"/>
  <c r="B27" i="25" s="1"/>
  <c r="B31" i="25" s="1"/>
  <c r="C25" i="10"/>
  <c r="I15" i="11"/>
  <c r="B24" i="30" l="1"/>
  <c r="C24" i="30" s="1"/>
  <c r="G24" i="30" s="1"/>
  <c r="B32" i="29"/>
  <c r="B32" i="25"/>
  <c r="F88" i="7"/>
  <c r="C87" i="8"/>
  <c r="C19" i="10" s="1"/>
  <c r="C8" i="26" s="1"/>
  <c r="F89" i="7" l="1"/>
  <c r="C66" i="8" s="1"/>
  <c r="D150" i="7" l="1"/>
  <c r="E165" i="7"/>
  <c r="E150" i="7"/>
  <c r="D153" i="7" l="1"/>
  <c r="F150" i="7"/>
  <c r="C38" i="8"/>
  <c r="H38" i="8"/>
  <c r="F165" i="7"/>
  <c r="G165" i="7" l="1"/>
  <c r="D170" i="7"/>
  <c r="H165" i="7" l="1"/>
  <c r="P56" i="7"/>
  <c r="Q56" i="7"/>
  <c r="R56" i="7"/>
  <c r="S56" i="7" s="1"/>
  <c r="R54" i="7"/>
  <c r="S54" i="7" s="1"/>
  <c r="P66" i="7"/>
  <c r="Q6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Q68" i="7"/>
  <c r="Q69" i="7"/>
  <c r="Q71" i="7"/>
  <c r="U71" i="7" s="1"/>
  <c r="Q72" i="7"/>
  <c r="P55" i="7"/>
  <c r="Q55" i="7"/>
  <c r="S67" i="7"/>
  <c r="R66" i="7"/>
  <c r="S66" i="7" s="1"/>
  <c r="R65" i="7"/>
  <c r="S65" i="7" s="1"/>
  <c r="R63" i="7"/>
  <c r="S63" i="7" s="1"/>
  <c r="R61" i="7"/>
  <c r="S61" i="7" s="1"/>
  <c r="R60" i="7"/>
  <c r="S60" i="7" s="1"/>
  <c r="R59" i="7"/>
  <c r="S59" i="7" s="1"/>
  <c r="R58" i="7"/>
  <c r="S58" i="7" s="1"/>
  <c r="R57" i="7"/>
  <c r="S57" i="7" s="1"/>
  <c r="R64" i="7"/>
  <c r="S64" i="7" s="1"/>
  <c r="R62" i="7"/>
  <c r="S62" i="7" s="1"/>
  <c r="S72" i="7"/>
  <c r="S70" i="7"/>
  <c r="S69" i="7"/>
  <c r="S68" i="7"/>
  <c r="R55" i="7"/>
  <c r="Q67" i="7"/>
  <c r="U67" i="7" s="1"/>
  <c r="P54" i="7"/>
  <c r="Q54" i="7" s="1"/>
  <c r="U54" i="7" s="1"/>
  <c r="V54" i="7" s="1"/>
  <c r="U65" i="7" l="1"/>
  <c r="U64" i="7"/>
  <c r="U63" i="7"/>
  <c r="U62" i="7"/>
  <c r="U61" i="7"/>
  <c r="U60" i="7"/>
  <c r="U59" i="7"/>
  <c r="U58" i="7"/>
  <c r="U57" i="7"/>
  <c r="U66" i="7"/>
  <c r="U56" i="7"/>
  <c r="U68" i="7"/>
  <c r="U72" i="7"/>
  <c r="V72" i="7" s="1"/>
  <c r="U69" i="7"/>
  <c r="V69" i="7" s="1"/>
  <c r="Q70" i="7"/>
  <c r="U70" i="7" s="1"/>
  <c r="V70" i="7" s="1"/>
  <c r="P73" i="7"/>
  <c r="V67" i="7"/>
  <c r="R73" i="7"/>
  <c r="S55" i="7"/>
  <c r="U55" i="7" s="1"/>
  <c r="V55" i="7"/>
  <c r="V71" i="7"/>
  <c r="V65" i="7"/>
  <c r="V64" i="7"/>
  <c r="V63" i="7"/>
  <c r="V62" i="7"/>
  <c r="V61" i="7"/>
  <c r="V60" i="7"/>
  <c r="V59" i="7"/>
  <c r="V58" i="7"/>
  <c r="V57" i="7"/>
  <c r="V66" i="7"/>
  <c r="S73" i="7"/>
  <c r="D56" i="7" s="1"/>
  <c r="E56" i="7" s="1"/>
  <c r="F56" i="7" s="1"/>
  <c r="G56" i="7" s="1"/>
  <c r="V56" i="7"/>
  <c r="V68" i="7" l="1"/>
  <c r="T81" i="7"/>
  <c r="Q73" i="7"/>
  <c r="D57" i="7" s="1"/>
  <c r="E57" i="7" s="1"/>
  <c r="F57" i="7" s="1"/>
  <c r="G57" i="7" s="1"/>
  <c r="U73" i="7" l="1"/>
  <c r="V73" i="7"/>
  <c r="T82" i="7"/>
  <c r="T83" i="7" s="1"/>
  <c r="T85" i="7" s="1"/>
  <c r="T47" i="7" s="1"/>
  <c r="U47" i="7" l="1"/>
  <c r="C61" i="7"/>
  <c r="F61" i="7" s="1"/>
  <c r="T86" i="7"/>
  <c r="U48" i="7"/>
  <c r="D69" i="7" l="1"/>
  <c r="C13" i="8" s="1"/>
  <c r="C8" i="10" s="1"/>
  <c r="C12" i="10" s="1"/>
  <c r="D63" i="7"/>
  <c r="D64" i="7"/>
  <c r="D70" i="7" l="1"/>
  <c r="C93" i="8" s="1"/>
  <c r="F69" i="7"/>
  <c r="F68" i="7"/>
  <c r="D71" i="7"/>
  <c r="E68" i="7"/>
  <c r="F71" i="7" l="1"/>
  <c r="E71" i="7"/>
  <c r="D13" i="8"/>
  <c r="D8" i="10" s="1"/>
  <c r="F70" i="7"/>
  <c r="C67" i="8"/>
  <c r="C18" i="10" s="1"/>
  <c r="C7" i="26" s="1"/>
  <c r="G93" i="8"/>
  <c r="F93" i="8"/>
  <c r="E93" i="8"/>
  <c r="D93" i="8"/>
  <c r="E70" i="7"/>
  <c r="D67" i="8"/>
  <c r="D18" i="10" s="1"/>
  <c r="D7" i="26" s="1"/>
  <c r="E67" i="8"/>
  <c r="E18" i="10" s="1"/>
  <c r="E7" i="26" s="1"/>
  <c r="F67" i="8"/>
  <c r="F18" i="10" s="1"/>
  <c r="F7" i="26" s="1"/>
  <c r="G67" i="8"/>
  <c r="G18" i="10" s="1"/>
  <c r="G7" i="26" s="1"/>
  <c r="E69" i="7"/>
  <c r="E13" i="8"/>
  <c r="E8" i="10" s="1"/>
  <c r="F13" i="8"/>
  <c r="F8" i="10" s="1"/>
  <c r="D72" i="7"/>
  <c r="F72" i="7" s="1"/>
  <c r="G13" i="8"/>
  <c r="G8" i="10" s="1"/>
  <c r="H39" i="8" l="1"/>
  <c r="C39" i="8"/>
  <c r="G12" i="10"/>
  <c r="D39" i="8"/>
  <c r="E171" i="7" s="1"/>
  <c r="E39" i="8"/>
  <c r="E72" i="7"/>
  <c r="K75" i="7" s="1"/>
  <c r="F12" i="10"/>
  <c r="E12" i="10"/>
  <c r="D12" i="10"/>
  <c r="D171" i="7" l="1"/>
  <c r="C33" i="9" s="1"/>
  <c r="C34" i="9" s="1"/>
  <c r="C21" i="25" s="1"/>
  <c r="F171" i="7"/>
  <c r="F39" i="8"/>
  <c r="H44" i="8"/>
  <c r="H45" i="8" s="1"/>
  <c r="C52" i="8" s="1"/>
  <c r="D21" i="25" l="1"/>
  <c r="D33" i="9"/>
  <c r="G39" i="8"/>
  <c r="C16" i="10"/>
  <c r="C15" i="10"/>
  <c r="G171" i="7"/>
  <c r="E33" i="9"/>
  <c r="C13" i="10" l="1"/>
  <c r="C17" i="10" s="1"/>
  <c r="C6" i="26" s="1"/>
  <c r="C123" i="8"/>
  <c r="C27" i="5"/>
  <c r="E16" i="10"/>
  <c r="H171" i="7"/>
  <c r="G33" i="9" s="1"/>
  <c r="F33" i="9"/>
  <c r="D16" i="10"/>
  <c r="C10" i="26" l="1"/>
  <c r="C12" i="26" s="1"/>
  <c r="C14" i="26" s="1"/>
  <c r="C21" i="10"/>
  <c r="C23" i="10" s="1"/>
  <c r="C31" i="5"/>
  <c r="C33" i="5" s="1"/>
  <c r="F16" i="10"/>
  <c r="G16" i="10"/>
  <c r="C35" i="5" l="1"/>
  <c r="B54" i="5"/>
  <c r="D54" i="5" s="1"/>
  <c r="C7" i="25"/>
  <c r="D7" i="11"/>
  <c r="C15" i="29" l="1"/>
  <c r="C8" i="25"/>
  <c r="D57" i="5"/>
  <c r="E16" i="29"/>
  <c r="C16" i="29"/>
  <c r="C17" i="29" s="1"/>
  <c r="D8" i="25"/>
  <c r="D7" i="25"/>
  <c r="B57" i="5"/>
  <c r="D8" i="11"/>
  <c r="B5" i="21" s="1"/>
  <c r="I7" i="11"/>
  <c r="E54" i="5"/>
  <c r="G4" i="12"/>
  <c r="C36" i="5"/>
  <c r="C15" i="27" l="1"/>
  <c r="C9" i="25"/>
  <c r="C10" i="25" s="1"/>
  <c r="C25" i="25" s="1"/>
  <c r="C27" i="27"/>
  <c r="J6" i="30" s="1"/>
  <c r="D14" i="29"/>
  <c r="C12" i="29"/>
  <c r="E57" i="5"/>
  <c r="F27" i="27" s="1"/>
  <c r="G16" i="29"/>
  <c r="F16" i="29"/>
  <c r="D16" i="29"/>
  <c r="D17" i="29" s="1"/>
  <c r="D12" i="29" s="1"/>
  <c r="H15" i="27"/>
  <c r="B6" i="30"/>
  <c r="C10" i="8"/>
  <c r="E10" i="8"/>
  <c r="D10" i="8"/>
  <c r="E35" i="7"/>
  <c r="C38" i="5"/>
  <c r="C33" i="25"/>
  <c r="C17" i="26" s="1"/>
  <c r="E14" i="29"/>
  <c r="G10" i="8"/>
  <c r="F10" i="8"/>
  <c r="D21" i="11"/>
  <c r="I8" i="11"/>
  <c r="B5" i="12"/>
  <c r="L4" i="12"/>
  <c r="G54" i="5"/>
  <c r="E36" i="7"/>
  <c r="E41" i="7" s="1"/>
  <c r="D50" i="7" s="1"/>
  <c r="L36" i="7"/>
  <c r="O36" i="7" s="1"/>
  <c r="I8" i="12"/>
  <c r="I9" i="12"/>
  <c r="H35" i="7" l="1"/>
  <c r="D48" i="7" s="1"/>
  <c r="C36" i="8" s="1"/>
  <c r="H36" i="7"/>
  <c r="D49" i="7" s="1"/>
  <c r="D27" i="27"/>
  <c r="J7" i="30" s="1"/>
  <c r="E27" i="27"/>
  <c r="J8" i="30" s="1"/>
  <c r="G27" i="27"/>
  <c r="J9" i="30"/>
  <c r="E17" i="29"/>
  <c r="F5" i="21"/>
  <c r="G57" i="5"/>
  <c r="M127" i="22" s="1"/>
  <c r="D9" i="25"/>
  <c r="C22" i="27"/>
  <c r="M4" i="12"/>
  <c r="I21" i="11"/>
  <c r="G44" i="7"/>
  <c r="I5" i="12"/>
  <c r="L35" i="7"/>
  <c r="C65" i="8" s="1"/>
  <c r="C75" i="8" s="1"/>
  <c r="I6" i="12"/>
  <c r="I7" i="12"/>
  <c r="F14" i="29" l="1"/>
  <c r="E12" i="29"/>
  <c r="J10" i="30"/>
  <c r="H27" i="27"/>
  <c r="J12" i="30"/>
  <c r="C44" i="8"/>
  <c r="C45" i="8"/>
  <c r="F17" i="29"/>
  <c r="D6" i="30"/>
  <c r="D25" i="25"/>
  <c r="D10" i="25"/>
  <c r="B10" i="30"/>
  <c r="B9" i="12"/>
  <c r="B11" i="12" s="1"/>
  <c r="F36" i="8"/>
  <c r="G36" i="8" s="1"/>
  <c r="I11" i="12"/>
  <c r="M18" i="12" s="1"/>
  <c r="O35" i="7"/>
  <c r="C86" i="8" s="1"/>
  <c r="F65" i="8"/>
  <c r="E65" i="8"/>
  <c r="E75" i="8" s="1"/>
  <c r="D65" i="8"/>
  <c r="D75" i="8" s="1"/>
  <c r="G65" i="8"/>
  <c r="D44" i="7"/>
  <c r="F17" i="9"/>
  <c r="H44" i="7"/>
  <c r="F151" i="8"/>
  <c r="G14" i="29" l="1"/>
  <c r="F12" i="29"/>
  <c r="C12" i="9"/>
  <c r="C46" i="8"/>
  <c r="C53" i="8"/>
  <c r="D54" i="8" s="1"/>
  <c r="G17" i="29"/>
  <c r="G12" i="29" s="1"/>
  <c r="F44" i="8"/>
  <c r="C96" i="8"/>
  <c r="D36" i="8"/>
  <c r="D44" i="8" s="1"/>
  <c r="D45" i="8" s="1"/>
  <c r="F18" i="9"/>
  <c r="F20" i="9" s="1"/>
  <c r="F22" i="8"/>
  <c r="F23" i="8" s="1"/>
  <c r="G151" i="8"/>
  <c r="G17" i="9"/>
  <c r="G44" i="8"/>
  <c r="G45" i="8" s="1"/>
  <c r="C17" i="9"/>
  <c r="E36" i="8"/>
  <c r="C22" i="8"/>
  <c r="E44" i="7"/>
  <c r="C151" i="8"/>
  <c r="G75" i="8"/>
  <c r="G77" i="8" s="1"/>
  <c r="G79" i="8" s="1"/>
  <c r="G156" i="8" s="1"/>
  <c r="F39" i="25" s="1"/>
  <c r="D77" i="8"/>
  <c r="D79" i="8" s="1"/>
  <c r="D156" i="8" s="1"/>
  <c r="C39" i="25" s="1"/>
  <c r="E77" i="8"/>
  <c r="E79" i="8" s="1"/>
  <c r="E156" i="8" s="1"/>
  <c r="D39" i="25" s="1"/>
  <c r="F75" i="8"/>
  <c r="F77" i="8" s="1"/>
  <c r="F79" i="8" s="1"/>
  <c r="F156" i="8" s="1"/>
  <c r="E39" i="25" s="1"/>
  <c r="G86" i="8"/>
  <c r="F86" i="8"/>
  <c r="E86" i="8"/>
  <c r="D86" i="8"/>
  <c r="C77" i="8"/>
  <c r="C80" i="8" s="1"/>
  <c r="F45" i="8" l="1"/>
  <c r="G53" i="8"/>
  <c r="D53" i="8"/>
  <c r="G12" i="9"/>
  <c r="F46" i="8"/>
  <c r="F12" i="9"/>
  <c r="D17" i="9"/>
  <c r="F118" i="8"/>
  <c r="F120" i="8" s="1"/>
  <c r="C98" i="8"/>
  <c r="C79" i="8"/>
  <c r="C156" i="8" s="1"/>
  <c r="B39" i="25" s="1"/>
  <c r="C157" i="8"/>
  <c r="B40" i="25" s="1"/>
  <c r="C135" i="8"/>
  <c r="B8" i="23" s="1"/>
  <c r="D96" i="8"/>
  <c r="D98" i="8" s="1"/>
  <c r="D136" i="8" s="1"/>
  <c r="C9" i="23" s="1"/>
  <c r="E96" i="8"/>
  <c r="E98" i="8" s="1"/>
  <c r="E100" i="8" s="1"/>
  <c r="E158" i="8" s="1"/>
  <c r="D41" i="25" s="1"/>
  <c r="F96" i="8"/>
  <c r="F98" i="8" s="1"/>
  <c r="F136" i="8" s="1"/>
  <c r="E9" i="23" s="1"/>
  <c r="C136" i="8"/>
  <c r="B9" i="23" s="1"/>
  <c r="G96" i="8"/>
  <c r="G98" i="8" s="1"/>
  <c r="G136" i="8" s="1"/>
  <c r="F9" i="23" s="1"/>
  <c r="F80" i="8"/>
  <c r="F157" i="8" s="1"/>
  <c r="E40" i="25" s="1"/>
  <c r="F135" i="8"/>
  <c r="E8" i="23" s="1"/>
  <c r="E80" i="8"/>
  <c r="E157" i="8" s="1"/>
  <c r="D40" i="25" s="1"/>
  <c r="E135" i="8"/>
  <c r="D8" i="23" s="1"/>
  <c r="D80" i="8"/>
  <c r="D157" i="8" s="1"/>
  <c r="C40" i="25" s="1"/>
  <c r="D135" i="8"/>
  <c r="C8" i="23" s="1"/>
  <c r="G80" i="8"/>
  <c r="G157" i="8" s="1"/>
  <c r="F40" i="25" s="1"/>
  <c r="G135" i="8"/>
  <c r="F8" i="23" s="1"/>
  <c r="F44" i="7"/>
  <c r="D151" i="8"/>
  <c r="C18" i="9"/>
  <c r="C23" i="8"/>
  <c r="C50" i="8" s="1"/>
  <c r="C55" i="8" s="1"/>
  <c r="E17" i="9"/>
  <c r="E44" i="8"/>
  <c r="C124" i="8"/>
  <c r="G46" i="8"/>
  <c r="G124" i="8"/>
  <c r="G18" i="9"/>
  <c r="G20" i="9" s="1"/>
  <c r="G22" i="8"/>
  <c r="G23" i="8" s="1"/>
  <c r="F25" i="8"/>
  <c r="F154" i="8" s="1"/>
  <c r="E37" i="25" s="1"/>
  <c r="F50" i="8"/>
  <c r="F26" i="8"/>
  <c r="F155" i="8" s="1"/>
  <c r="E38" i="25" s="1"/>
  <c r="G8" i="23" l="1"/>
  <c r="C20" i="9"/>
  <c r="C17" i="25"/>
  <c r="F53" i="8"/>
  <c r="E45" i="8"/>
  <c r="C56" i="8"/>
  <c r="E54" i="8"/>
  <c r="D12" i="9"/>
  <c r="E12" i="9"/>
  <c r="D32" i="9"/>
  <c r="F32" i="9"/>
  <c r="G32" i="9"/>
  <c r="D46" i="8"/>
  <c r="D124" i="8"/>
  <c r="G118" i="8"/>
  <c r="G120" i="8" s="1"/>
  <c r="G126" i="8" s="1"/>
  <c r="G128" i="8" s="1"/>
  <c r="E136" i="8"/>
  <c r="D9" i="23" s="1"/>
  <c r="G9" i="23" s="1"/>
  <c r="F100" i="8"/>
  <c r="F158" i="8" s="1"/>
  <c r="E41" i="25" s="1"/>
  <c r="G100" i="8"/>
  <c r="G158" i="8" s="1"/>
  <c r="F41" i="25" s="1"/>
  <c r="D100" i="8"/>
  <c r="D158" i="8" s="1"/>
  <c r="C41" i="25" s="1"/>
  <c r="C100" i="8"/>
  <c r="C158" i="8" s="1"/>
  <c r="B41" i="25" s="1"/>
  <c r="C101" i="8"/>
  <c r="C159" i="8" s="1"/>
  <c r="B42" i="25" s="1"/>
  <c r="E72" i="25" s="1"/>
  <c r="C26" i="8"/>
  <c r="C118" i="8"/>
  <c r="C120" i="8" s="1"/>
  <c r="G25" i="8"/>
  <c r="G154" i="8" s="1"/>
  <c r="F37" i="25" s="1"/>
  <c r="G50" i="8"/>
  <c r="G26" i="8"/>
  <c r="G155" i="8" s="1"/>
  <c r="F38" i="25" s="1"/>
  <c r="E46" i="8"/>
  <c r="E124" i="8"/>
  <c r="F124" i="8"/>
  <c r="F126" i="8" s="1"/>
  <c r="F128" i="8" s="1"/>
  <c r="D18" i="9"/>
  <c r="D20" i="9" s="1"/>
  <c r="D22" i="8"/>
  <c r="D23" i="8" s="1"/>
  <c r="E151" i="8"/>
  <c r="G101" i="8"/>
  <c r="G159" i="8" s="1"/>
  <c r="F42" i="25" s="1"/>
  <c r="E98" i="25" s="1"/>
  <c r="F101" i="8"/>
  <c r="F159" i="8" s="1"/>
  <c r="E101" i="8"/>
  <c r="E159" i="8" s="1"/>
  <c r="D42" i="25" s="1"/>
  <c r="D101" i="8"/>
  <c r="D159" i="8" s="1"/>
  <c r="C42" i="25" s="1"/>
  <c r="E97" i="25" l="1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78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52" i="25"/>
  <c r="D53" i="25"/>
  <c r="F53" i="25" s="1"/>
  <c r="D54" i="25"/>
  <c r="F54" i="25" s="1"/>
  <c r="D55" i="25"/>
  <c r="F55" i="25" s="1"/>
  <c r="D56" i="25"/>
  <c r="F56" i="25" s="1"/>
  <c r="D57" i="25"/>
  <c r="F57" i="25" s="1"/>
  <c r="D58" i="25"/>
  <c r="F58" i="25" s="1"/>
  <c r="D59" i="25"/>
  <c r="F59" i="25" s="1"/>
  <c r="D60" i="25"/>
  <c r="F60" i="25" s="1"/>
  <c r="D61" i="25"/>
  <c r="F61" i="25" s="1"/>
  <c r="D62" i="25"/>
  <c r="F62" i="25" s="1"/>
  <c r="D63" i="25"/>
  <c r="F63" i="25" s="1"/>
  <c r="D64" i="25"/>
  <c r="F64" i="25" s="1"/>
  <c r="D65" i="25"/>
  <c r="F65" i="25" s="1"/>
  <c r="D66" i="25"/>
  <c r="F66" i="25" s="1"/>
  <c r="D67" i="25"/>
  <c r="F67" i="25" s="1"/>
  <c r="D68" i="25"/>
  <c r="F68" i="25" s="1"/>
  <c r="D69" i="25"/>
  <c r="F69" i="25" s="1"/>
  <c r="D70" i="25"/>
  <c r="F70" i="25" s="1"/>
  <c r="D71" i="25"/>
  <c r="F71" i="25" s="1"/>
  <c r="D72" i="25"/>
  <c r="F72" i="25" s="1"/>
  <c r="D52" i="25"/>
  <c r="F52" i="25" s="1"/>
  <c r="D79" i="25"/>
  <c r="F79" i="25" s="1"/>
  <c r="D80" i="25"/>
  <c r="F80" i="25" s="1"/>
  <c r="D81" i="25"/>
  <c r="F81" i="25" s="1"/>
  <c r="D82" i="25"/>
  <c r="F82" i="25" s="1"/>
  <c r="D83" i="25"/>
  <c r="F83" i="25" s="1"/>
  <c r="D84" i="25"/>
  <c r="F84" i="25" s="1"/>
  <c r="D85" i="25"/>
  <c r="F85" i="25" s="1"/>
  <c r="D86" i="25"/>
  <c r="F86" i="25" s="1"/>
  <c r="D87" i="25"/>
  <c r="F87" i="25" s="1"/>
  <c r="D88" i="25"/>
  <c r="F88" i="25" s="1"/>
  <c r="D89" i="25"/>
  <c r="F89" i="25" s="1"/>
  <c r="D90" i="25"/>
  <c r="F90" i="25" s="1"/>
  <c r="D91" i="25"/>
  <c r="F91" i="25" s="1"/>
  <c r="D92" i="25"/>
  <c r="F92" i="25" s="1"/>
  <c r="D93" i="25"/>
  <c r="F93" i="25" s="1"/>
  <c r="D94" i="25"/>
  <c r="F94" i="25" s="1"/>
  <c r="D95" i="25"/>
  <c r="F95" i="25" s="1"/>
  <c r="D96" i="25"/>
  <c r="F96" i="25" s="1"/>
  <c r="D97" i="25"/>
  <c r="F97" i="25" s="1"/>
  <c r="D98" i="25"/>
  <c r="F98" i="25" s="1"/>
  <c r="D78" i="25"/>
  <c r="F78" i="25" s="1"/>
  <c r="D17" i="25"/>
  <c r="C18" i="25"/>
  <c r="D18" i="25"/>
  <c r="G54" i="8"/>
  <c r="G55" i="8" s="1"/>
  <c r="G56" i="8"/>
  <c r="E53" i="8"/>
  <c r="F54" i="8" s="1"/>
  <c r="F44" i="25"/>
  <c r="F45" i="25" s="1"/>
  <c r="F160" i="8"/>
  <c r="E42" i="25"/>
  <c r="E44" i="25" s="1"/>
  <c r="E45" i="25" s="1"/>
  <c r="G15" i="10"/>
  <c r="G17" i="10" s="1"/>
  <c r="G34" i="9"/>
  <c r="F15" i="10"/>
  <c r="F17" i="10" s="1"/>
  <c r="F34" i="9"/>
  <c r="D15" i="10"/>
  <c r="D17" i="10" s="1"/>
  <c r="D34" i="9"/>
  <c r="E32" i="9"/>
  <c r="F161" i="8"/>
  <c r="C25" i="8"/>
  <c r="C58" i="8" s="1"/>
  <c r="D118" i="8"/>
  <c r="D120" i="8" s="1"/>
  <c r="D126" i="8" s="1"/>
  <c r="D128" i="8" s="1"/>
  <c r="N97" i="7" s="1"/>
  <c r="O98" i="7" s="1"/>
  <c r="C155" i="8"/>
  <c r="B38" i="25" s="1"/>
  <c r="B44" i="25" s="1"/>
  <c r="C128" i="8"/>
  <c r="M97" i="7" s="1"/>
  <c r="M99" i="7" s="1"/>
  <c r="E18" i="9"/>
  <c r="E20" i="9" s="1"/>
  <c r="E22" i="8"/>
  <c r="E23" i="8" s="1"/>
  <c r="D25" i="8"/>
  <c r="D154" i="8" s="1"/>
  <c r="C37" i="25" s="1"/>
  <c r="D50" i="8"/>
  <c r="D55" i="8" s="1"/>
  <c r="D56" i="8" s="1"/>
  <c r="D26" i="8"/>
  <c r="D155" i="8" s="1"/>
  <c r="C38" i="25" s="1"/>
  <c r="C44" i="25" s="1"/>
  <c r="C59" i="8"/>
  <c r="Q97" i="7"/>
  <c r="P97" i="7"/>
  <c r="G160" i="8"/>
  <c r="G161" i="8" s="1"/>
  <c r="E191" i="8"/>
  <c r="E211" i="8"/>
  <c r="E205" i="8"/>
  <c r="E195" i="8"/>
  <c r="E194" i="8"/>
  <c r="E196" i="8"/>
  <c r="E208" i="8"/>
  <c r="E204" i="8"/>
  <c r="E201" i="8"/>
  <c r="E192" i="8"/>
  <c r="E206" i="8"/>
  <c r="E203" i="8"/>
  <c r="E197" i="8"/>
  <c r="E207" i="8"/>
  <c r="E198" i="8"/>
  <c r="E202" i="8"/>
  <c r="E193" i="8"/>
  <c r="E200" i="8"/>
  <c r="E210" i="8"/>
  <c r="E199" i="8"/>
  <c r="E209" i="8"/>
  <c r="G59" i="8"/>
  <c r="G58" i="8"/>
  <c r="D142" i="22" l="1"/>
  <c r="D143" i="22"/>
  <c r="D144" i="22"/>
  <c r="D141" i="22"/>
  <c r="F55" i="8"/>
  <c r="F21" i="10"/>
  <c r="F23" i="10" s="1"/>
  <c r="F6" i="26"/>
  <c r="F10" i="26" s="1"/>
  <c r="F12" i="26" s="1"/>
  <c r="F14" i="26" s="1"/>
  <c r="G21" i="10"/>
  <c r="G23" i="10" s="1"/>
  <c r="G6" i="26"/>
  <c r="G10" i="26" s="1"/>
  <c r="G12" i="26" s="1"/>
  <c r="G14" i="26" s="1"/>
  <c r="D21" i="10"/>
  <c r="D23" i="10" s="1"/>
  <c r="D6" i="26"/>
  <c r="D10" i="26" s="1"/>
  <c r="C45" i="25"/>
  <c r="D160" i="8"/>
  <c r="C160" i="8"/>
  <c r="E15" i="10"/>
  <c r="E17" i="10" s="1"/>
  <c r="E34" i="9"/>
  <c r="N98" i="7"/>
  <c r="C154" i="8"/>
  <c r="B37" i="25" s="1"/>
  <c r="F186" i="8"/>
  <c r="E118" i="8"/>
  <c r="E120" i="8" s="1"/>
  <c r="E126" i="8" s="1"/>
  <c r="E128" i="8" s="1"/>
  <c r="O97" i="7" s="1"/>
  <c r="P98" i="7" s="1"/>
  <c r="P99" i="7" s="1"/>
  <c r="F131" i="8" s="1"/>
  <c r="F133" i="8" s="1"/>
  <c r="N99" i="7"/>
  <c r="D131" i="8" s="1"/>
  <c r="D133" i="8" s="1"/>
  <c r="C131" i="8"/>
  <c r="C133" i="8" s="1"/>
  <c r="B5" i="23" s="1"/>
  <c r="I16" i="11"/>
  <c r="Q98" i="7"/>
  <c r="Q99" i="7" s="1"/>
  <c r="G131" i="8" s="1"/>
  <c r="G133" i="8" s="1"/>
  <c r="H58" i="8"/>
  <c r="H59" i="8"/>
  <c r="D161" i="8"/>
  <c r="D58" i="8"/>
  <c r="D59" i="8"/>
  <c r="E25" i="8"/>
  <c r="E154" i="8" s="1"/>
  <c r="D37" i="25" s="1"/>
  <c r="E50" i="8"/>
  <c r="E55" i="8" s="1"/>
  <c r="E26" i="8"/>
  <c r="E155" i="8" s="1"/>
  <c r="D38" i="25" s="1"/>
  <c r="D44" i="25" s="1"/>
  <c r="B6" i="23" l="1"/>
  <c r="F168" i="8"/>
  <c r="C140" i="22"/>
  <c r="D12" i="26"/>
  <c r="D14" i="26" s="1"/>
  <c r="B45" i="25"/>
  <c r="F58" i="8"/>
  <c r="F59" i="8"/>
  <c r="F56" i="8"/>
  <c r="E56" i="8"/>
  <c r="E21" i="10"/>
  <c r="E23" i="10" s="1"/>
  <c r="E6" i="26"/>
  <c r="E10" i="26" s="1"/>
  <c r="E12" i="26" s="1"/>
  <c r="E14" i="26" s="1"/>
  <c r="D45" i="25"/>
  <c r="E160" i="8"/>
  <c r="G138" i="8"/>
  <c r="F5" i="23"/>
  <c r="F138" i="8"/>
  <c r="E5" i="23"/>
  <c r="C138" i="8"/>
  <c r="C142" i="8" s="1"/>
  <c r="C17" i="27"/>
  <c r="D138" i="8"/>
  <c r="C5" i="23"/>
  <c r="F167" i="8"/>
  <c r="O99" i="7"/>
  <c r="E131" i="8" s="1"/>
  <c r="E133" i="8" s="1"/>
  <c r="E166" i="8"/>
  <c r="E181" i="8"/>
  <c r="E182" i="8"/>
  <c r="E176" i="8"/>
  <c r="E172" i="8"/>
  <c r="E186" i="8"/>
  <c r="E174" i="8"/>
  <c r="E183" i="8"/>
  <c r="E173" i="8"/>
  <c r="E167" i="8"/>
  <c r="G167" i="8" s="1"/>
  <c r="E185" i="8"/>
  <c r="E179" i="8"/>
  <c r="E175" i="8"/>
  <c r="E171" i="8"/>
  <c r="E169" i="8"/>
  <c r="E184" i="8"/>
  <c r="E178" i="8"/>
  <c r="E170" i="8"/>
  <c r="E180" i="8"/>
  <c r="E177" i="8"/>
  <c r="E168" i="8"/>
  <c r="C161" i="8"/>
  <c r="C140" i="8"/>
  <c r="C13" i="9" s="1"/>
  <c r="E161" i="8"/>
  <c r="E59" i="8"/>
  <c r="E58" i="8"/>
  <c r="F166" i="8"/>
  <c r="G166" i="8" s="1"/>
  <c r="G168" i="8"/>
  <c r="F169" i="8"/>
  <c r="F170" i="8"/>
  <c r="F171" i="8"/>
  <c r="F172" i="8"/>
  <c r="G172" i="8" s="1"/>
  <c r="F173" i="8"/>
  <c r="F174" i="8"/>
  <c r="F175" i="8"/>
  <c r="G175" i="8" s="1"/>
  <c r="F176" i="8"/>
  <c r="G176" i="8" s="1"/>
  <c r="F177" i="8"/>
  <c r="G177" i="8" s="1"/>
  <c r="F178" i="8"/>
  <c r="F179" i="8"/>
  <c r="G179" i="8" s="1"/>
  <c r="F180" i="8"/>
  <c r="F182" i="8"/>
  <c r="F183" i="8"/>
  <c r="G183" i="8" s="1"/>
  <c r="F184" i="8"/>
  <c r="G184" i="8" s="1"/>
  <c r="F185" i="8"/>
  <c r="F181" i="8"/>
  <c r="G142" i="8"/>
  <c r="G140" i="8"/>
  <c r="F142" i="8"/>
  <c r="H8" i="12" s="1"/>
  <c r="F140" i="8"/>
  <c r="D13" i="9" l="1"/>
  <c r="C10" i="29"/>
  <c r="C9" i="9"/>
  <c r="D17" i="11"/>
  <c r="C14" i="9"/>
  <c r="B11" i="23"/>
  <c r="G170" i="8"/>
  <c r="G186" i="8"/>
  <c r="D140" i="22"/>
  <c r="G140" i="22" s="1"/>
  <c r="B18" i="26"/>
  <c r="B22" i="27"/>
  <c r="B24" i="27" s="1"/>
  <c r="D5" i="30"/>
  <c r="C6" i="23"/>
  <c r="D17" i="27"/>
  <c r="E6" i="23"/>
  <c r="E11" i="23" s="1"/>
  <c r="F17" i="27"/>
  <c r="F6" i="23"/>
  <c r="F11" i="23" s="1"/>
  <c r="G17" i="27"/>
  <c r="B12" i="30"/>
  <c r="L25" i="30" s="1"/>
  <c r="E138" i="8"/>
  <c r="D5" i="23"/>
  <c r="G5" i="23" s="1"/>
  <c r="D142" i="8"/>
  <c r="D140" i="8"/>
  <c r="G178" i="8"/>
  <c r="G173" i="8"/>
  <c r="G181" i="8"/>
  <c r="G174" i="8"/>
  <c r="G182" i="8"/>
  <c r="G185" i="8"/>
  <c r="G180" i="8"/>
  <c r="G169" i="8"/>
  <c r="G171" i="8"/>
  <c r="E142" i="8"/>
  <c r="E140" i="8"/>
  <c r="C143" i="8"/>
  <c r="H5" i="12"/>
  <c r="F143" i="8"/>
  <c r="E8" i="12" s="1"/>
  <c r="H9" i="12"/>
  <c r="G143" i="8"/>
  <c r="E9" i="12" s="1"/>
  <c r="C15" i="9" l="1"/>
  <c r="C24" i="9" s="1"/>
  <c r="C16" i="27" s="1"/>
  <c r="C6" i="30" s="1"/>
  <c r="C14" i="25"/>
  <c r="E13" i="9"/>
  <c r="D10" i="29"/>
  <c r="D9" i="9"/>
  <c r="D15" i="9" s="1"/>
  <c r="D24" i="9" s="1"/>
  <c r="D16" i="27" s="1"/>
  <c r="D14" i="9"/>
  <c r="E17" i="11"/>
  <c r="C7" i="30"/>
  <c r="F13" i="23"/>
  <c r="F14" i="23" s="1"/>
  <c r="F12" i="23"/>
  <c r="E13" i="23"/>
  <c r="E14" i="23" s="1"/>
  <c r="E12" i="23"/>
  <c r="E9" i="30" s="1"/>
  <c r="C11" i="23"/>
  <c r="B13" i="23"/>
  <c r="B14" i="23" s="1"/>
  <c r="B12" i="23"/>
  <c r="B15" i="23"/>
  <c r="C33" i="29" s="1"/>
  <c r="D34" i="29" s="1"/>
  <c r="C16" i="26"/>
  <c r="B19" i="26"/>
  <c r="H10" i="30"/>
  <c r="F15" i="23"/>
  <c r="G33" i="29" s="1"/>
  <c r="H9" i="30"/>
  <c r="E15" i="23"/>
  <c r="F33" i="29" s="1"/>
  <c r="H7" i="30"/>
  <c r="C18" i="26"/>
  <c r="D6" i="23"/>
  <c r="G6" i="23" s="1"/>
  <c r="E17" i="27"/>
  <c r="H17" i="27"/>
  <c r="G20" i="27"/>
  <c r="E10" i="30"/>
  <c r="F20" i="27"/>
  <c r="F10" i="30"/>
  <c r="G18" i="27"/>
  <c r="F9" i="30"/>
  <c r="F18" i="27"/>
  <c r="H6" i="12"/>
  <c r="D143" i="8"/>
  <c r="F211" i="8"/>
  <c r="E143" i="8"/>
  <c r="H7" i="12"/>
  <c r="F144" i="8"/>
  <c r="F8" i="12" s="1"/>
  <c r="G144" i="8"/>
  <c r="F9" i="12" s="1"/>
  <c r="F198" i="8"/>
  <c r="G198" i="8" s="1"/>
  <c r="F194" i="8"/>
  <c r="G194" i="8" s="1"/>
  <c r="E5" i="12"/>
  <c r="C144" i="8"/>
  <c r="C146" i="8" s="1"/>
  <c r="C147" i="8" s="1"/>
  <c r="F205" i="8"/>
  <c r="G205" i="8" s="1"/>
  <c r="F195" i="8"/>
  <c r="G195" i="8" s="1"/>
  <c r="F196" i="8"/>
  <c r="G196" i="8" s="1"/>
  <c r="F208" i="8"/>
  <c r="G208" i="8" s="1"/>
  <c r="F204" i="8"/>
  <c r="G204" i="8" s="1"/>
  <c r="F191" i="8"/>
  <c r="G191" i="8" s="1"/>
  <c r="F201" i="8"/>
  <c r="G201" i="8" s="1"/>
  <c r="F192" i="8"/>
  <c r="G192" i="8" s="1"/>
  <c r="F206" i="8"/>
  <c r="G206" i="8" s="1"/>
  <c r="F203" i="8"/>
  <c r="G203" i="8" s="1"/>
  <c r="F197" i="8"/>
  <c r="G197" i="8" s="1"/>
  <c r="F207" i="8"/>
  <c r="G207" i="8" s="1"/>
  <c r="F202" i="8"/>
  <c r="G202" i="8" s="1"/>
  <c r="F193" i="8"/>
  <c r="G193" i="8" s="1"/>
  <c r="F200" i="8"/>
  <c r="G200" i="8" s="1"/>
  <c r="F210" i="8"/>
  <c r="G210" i="8" s="1"/>
  <c r="F199" i="8"/>
  <c r="G199" i="8" s="1"/>
  <c r="F209" i="8"/>
  <c r="G209" i="8" s="1"/>
  <c r="G211" i="8"/>
  <c r="D14" i="25" l="1"/>
  <c r="C15" i="25"/>
  <c r="F13" i="9"/>
  <c r="E10" i="29"/>
  <c r="E9" i="9"/>
  <c r="E15" i="9" s="1"/>
  <c r="E24" i="9" s="1"/>
  <c r="E16" i="27" s="1"/>
  <c r="F17" i="11"/>
  <c r="E14" i="9"/>
  <c r="C8" i="30"/>
  <c r="C19" i="25"/>
  <c r="C20" i="25" s="1"/>
  <c r="C23" i="25" s="1"/>
  <c r="C13" i="23"/>
  <c r="C14" i="23" s="1"/>
  <c r="C12" i="23"/>
  <c r="C142" i="22"/>
  <c r="G142" i="22" s="1"/>
  <c r="C143" i="22"/>
  <c r="G143" i="22" s="1"/>
  <c r="C144" i="22"/>
  <c r="G144" i="22" s="1"/>
  <c r="C141" i="22"/>
  <c r="G141" i="22" s="1"/>
  <c r="C19" i="26"/>
  <c r="B11" i="29" s="1"/>
  <c r="C21" i="26"/>
  <c r="K6" i="30"/>
  <c r="C11" i="27"/>
  <c r="B23" i="29" s="1"/>
  <c r="B12" i="29" s="1"/>
  <c r="D16" i="26"/>
  <c r="D11" i="23"/>
  <c r="F6" i="30"/>
  <c r="C18" i="27"/>
  <c r="H6" i="30"/>
  <c r="C20" i="27"/>
  <c r="E6" i="12"/>
  <c r="D144" i="8"/>
  <c r="G146" i="8"/>
  <c r="F146" i="8"/>
  <c r="E7" i="12"/>
  <c r="E11" i="12" s="1"/>
  <c r="E144" i="8"/>
  <c r="H11" i="12"/>
  <c r="F5" i="12"/>
  <c r="C19" i="9"/>
  <c r="D15" i="25" l="1"/>
  <c r="C22" i="25"/>
  <c r="D22" i="25" s="1"/>
  <c r="G13" i="9"/>
  <c r="F10" i="29"/>
  <c r="F9" i="9"/>
  <c r="F15" i="9" s="1"/>
  <c r="F14" i="9"/>
  <c r="G17" i="11"/>
  <c r="D13" i="23"/>
  <c r="D14" i="23" s="1"/>
  <c r="D12" i="23"/>
  <c r="G11" i="23"/>
  <c r="C15" i="23"/>
  <c r="D33" i="29" s="1"/>
  <c r="E34" i="29" s="1"/>
  <c r="E7" i="30"/>
  <c r="D20" i="27"/>
  <c r="G12" i="23"/>
  <c r="F7" i="30"/>
  <c r="D18" i="27"/>
  <c r="G14" i="23"/>
  <c r="B5" i="29"/>
  <c r="B24" i="29" s="1"/>
  <c r="H8" i="30"/>
  <c r="G5" i="30"/>
  <c r="M5" i="30" s="1"/>
  <c r="E6" i="30"/>
  <c r="C24" i="27"/>
  <c r="G6" i="30"/>
  <c r="H12" i="30"/>
  <c r="L6" i="30"/>
  <c r="D19" i="25"/>
  <c r="F6" i="12"/>
  <c r="D146" i="8"/>
  <c r="G147" i="8"/>
  <c r="G19" i="9" s="1"/>
  <c r="G150" i="8"/>
  <c r="G152" i="8" s="1"/>
  <c r="F150" i="8"/>
  <c r="F152" i="8" s="1"/>
  <c r="F147" i="8"/>
  <c r="F19" i="9" s="1"/>
  <c r="F7" i="12"/>
  <c r="F11" i="12" s="1"/>
  <c r="H13" i="12" s="1"/>
  <c r="E146" i="8"/>
  <c r="C150" i="8"/>
  <c r="C152" i="8" s="1"/>
  <c r="F24" i="9" l="1"/>
  <c r="F16" i="27" s="1"/>
  <c r="G9" i="9"/>
  <c r="G15" i="9" s="1"/>
  <c r="G24" i="9" s="1"/>
  <c r="G16" i="27" s="1"/>
  <c r="G14" i="9"/>
  <c r="G10" i="29"/>
  <c r="H17" i="11"/>
  <c r="I17" i="11" s="1"/>
  <c r="M6" i="30"/>
  <c r="G13" i="23"/>
  <c r="D15" i="23"/>
  <c r="F8" i="30"/>
  <c r="E18" i="27"/>
  <c r="E20" i="27"/>
  <c r="E8" i="30"/>
  <c r="E12" i="30" s="1"/>
  <c r="N5" i="30"/>
  <c r="C26" i="25"/>
  <c r="D20" i="25"/>
  <c r="D147" i="8"/>
  <c r="D19" i="9" s="1"/>
  <c r="D150" i="8"/>
  <c r="D152" i="8" s="1"/>
  <c r="C22" i="9"/>
  <c r="C25" i="9" s="1"/>
  <c r="C36" i="9" s="1"/>
  <c r="F22" i="9"/>
  <c r="G18" i="11"/>
  <c r="G22" i="9"/>
  <c r="H18" i="11"/>
  <c r="E150" i="8"/>
  <c r="E152" i="8" s="1"/>
  <c r="E147" i="8"/>
  <c r="E19" i="9" s="1"/>
  <c r="H16" i="27" l="1"/>
  <c r="C9" i="30"/>
  <c r="C10" i="30"/>
  <c r="B29" i="30" s="1"/>
  <c r="C29" i="30" s="1"/>
  <c r="H18" i="27"/>
  <c r="G15" i="23"/>
  <c r="E33" i="29"/>
  <c r="F34" i="29" s="1"/>
  <c r="G34" i="29" s="1"/>
  <c r="C27" i="25"/>
  <c r="C31" i="25" s="1"/>
  <c r="F12" i="30"/>
  <c r="D31" i="30"/>
  <c r="H20" i="27"/>
  <c r="N6" i="30"/>
  <c r="D23" i="25"/>
  <c r="D22" i="9"/>
  <c r="D25" i="9" s="1"/>
  <c r="D36" i="9" s="1"/>
  <c r="E18" i="11"/>
  <c r="E22" i="9"/>
  <c r="F25" i="9" s="1"/>
  <c r="F36" i="9" s="1"/>
  <c r="F18" i="11"/>
  <c r="H22" i="11"/>
  <c r="H23" i="11" s="1"/>
  <c r="G17" i="26" s="1"/>
  <c r="G22" i="11"/>
  <c r="G23" i="11" s="1"/>
  <c r="F17" i="26" s="1"/>
  <c r="C8" i="12"/>
  <c r="G25" i="9"/>
  <c r="G36" i="9" s="1"/>
  <c r="I12" i="11"/>
  <c r="D18" i="11"/>
  <c r="C12" i="30" l="1"/>
  <c r="L27" i="30" s="1"/>
  <c r="H25" i="11"/>
  <c r="G25" i="11"/>
  <c r="E25" i="9"/>
  <c r="E36" i="9" s="1"/>
  <c r="B25" i="30"/>
  <c r="C25" i="30" s="1"/>
  <c r="C31" i="30" s="1"/>
  <c r="C32" i="29"/>
  <c r="D32" i="29" s="1"/>
  <c r="E32" i="29" s="1"/>
  <c r="D31" i="25"/>
  <c r="D34" i="30"/>
  <c r="B6" i="21"/>
  <c r="C32" i="25"/>
  <c r="D26" i="25"/>
  <c r="C6" i="12"/>
  <c r="E22" i="11"/>
  <c r="E23" i="11" s="1"/>
  <c r="D17" i="26" s="1"/>
  <c r="C5" i="12"/>
  <c r="D22" i="11"/>
  <c r="D23" i="11" s="1"/>
  <c r="D8" i="12"/>
  <c r="G8" i="12" s="1"/>
  <c r="F26" i="10"/>
  <c r="F22" i="27" s="1"/>
  <c r="F24" i="27" s="1"/>
  <c r="D9" i="12"/>
  <c r="G26" i="10"/>
  <c r="G22" i="27" s="1"/>
  <c r="G24" i="27" s="1"/>
  <c r="I18" i="11"/>
  <c r="C9" i="12" s="1"/>
  <c r="F22" i="11"/>
  <c r="F23" i="11" s="1"/>
  <c r="E17" i="26" s="1"/>
  <c r="C7" i="12"/>
  <c r="G9" i="12" l="1"/>
  <c r="E25" i="11"/>
  <c r="F25" i="11"/>
  <c r="F32" i="29"/>
  <c r="E31" i="29"/>
  <c r="D31" i="29"/>
  <c r="D35" i="29" s="1"/>
  <c r="D18" i="26"/>
  <c r="D19" i="26" s="1"/>
  <c r="F6" i="21"/>
  <c r="D27" i="25"/>
  <c r="E30" i="25" s="1"/>
  <c r="D10" i="30"/>
  <c r="G10" i="30" s="1"/>
  <c r="D9" i="30"/>
  <c r="G9" i="30" s="1"/>
  <c r="D6" i="12"/>
  <c r="G6" i="12" s="1"/>
  <c r="D26" i="10"/>
  <c r="C26" i="10"/>
  <c r="C27" i="10" s="1"/>
  <c r="C28" i="10" s="1"/>
  <c r="C30" i="10" s="1"/>
  <c r="B7" i="21"/>
  <c r="E5" i="21" s="1"/>
  <c r="E26" i="10"/>
  <c r="E22" i="27" s="1"/>
  <c r="E24" i="27" s="1"/>
  <c r="D7" i="12"/>
  <c r="G7" i="12" s="1"/>
  <c r="I22" i="11"/>
  <c r="C11" i="12"/>
  <c r="E16" i="26" l="1"/>
  <c r="E18" i="26" s="1"/>
  <c r="G32" i="29"/>
  <c r="G31" i="29" s="1"/>
  <c r="G35" i="29" s="1"/>
  <c r="F31" i="29"/>
  <c r="E6" i="21"/>
  <c r="E8" i="21" s="1"/>
  <c r="D21" i="26"/>
  <c r="C11" i="29"/>
  <c r="B8" i="21"/>
  <c r="C5" i="21" s="1"/>
  <c r="D22" i="27"/>
  <c r="D24" i="27" s="1"/>
  <c r="D8" i="30"/>
  <c r="G8" i="30" s="1"/>
  <c r="D7" i="30"/>
  <c r="C7" i="27"/>
  <c r="D5" i="12"/>
  <c r="I23" i="11"/>
  <c r="D25" i="11"/>
  <c r="I25" i="11" s="1"/>
  <c r="G5" i="21" l="1"/>
  <c r="G6" i="21"/>
  <c r="C7" i="21"/>
  <c r="G7" i="21" s="1"/>
  <c r="F16" i="26"/>
  <c r="E19" i="26"/>
  <c r="E21" i="26" s="1"/>
  <c r="C6" i="21"/>
  <c r="H22" i="27"/>
  <c r="H24" i="27" s="1"/>
  <c r="B10" i="21"/>
  <c r="D12" i="30"/>
  <c r="G7" i="30"/>
  <c r="D11" i="12"/>
  <c r="G5" i="12"/>
  <c r="G8" i="21" l="1"/>
  <c r="D11" i="29"/>
  <c r="F18" i="26"/>
  <c r="G16" i="26" s="1"/>
  <c r="G18" i="26" s="1"/>
  <c r="G12" i="30"/>
  <c r="C8" i="21"/>
  <c r="G11" i="12"/>
  <c r="D25" i="10"/>
  <c r="D27" i="10" s="1"/>
  <c r="D28" i="10" s="1"/>
  <c r="G19" i="26" l="1"/>
  <c r="G21" i="26" s="1"/>
  <c r="F19" i="26"/>
  <c r="D11" i="27"/>
  <c r="K7" i="30"/>
  <c r="J5" i="12"/>
  <c r="D30" i="10"/>
  <c r="J6" i="12"/>
  <c r="K6" i="12" s="1"/>
  <c r="L6" i="12" s="1"/>
  <c r="E25" i="10"/>
  <c r="F11" i="29" l="1"/>
  <c r="E11" i="29"/>
  <c r="F21" i="26"/>
  <c r="E27" i="10"/>
  <c r="F25" i="10" s="1"/>
  <c r="L7" i="30"/>
  <c r="K5" i="12"/>
  <c r="F27" i="10" l="1"/>
  <c r="G25" i="10" s="1"/>
  <c r="M7" i="30"/>
  <c r="E28" i="10"/>
  <c r="L5" i="12"/>
  <c r="G27" i="10" l="1"/>
  <c r="E30" i="10"/>
  <c r="J7" i="12"/>
  <c r="K7" i="12" s="1"/>
  <c r="L7" i="12" s="1"/>
  <c r="N7" i="30"/>
  <c r="F28" i="10"/>
  <c r="M5" i="12"/>
  <c r="F30" i="10" l="1"/>
  <c r="J8" i="12"/>
  <c r="K8" i="30"/>
  <c r="E11" i="27"/>
  <c r="G28" i="10"/>
  <c r="D14" i="12"/>
  <c r="M6" i="12"/>
  <c r="M7" i="12" s="1"/>
  <c r="G30" i="10" l="1"/>
  <c r="J9" i="12"/>
  <c r="K9" i="12" s="1"/>
  <c r="L9" i="12" s="1"/>
  <c r="L8" i="30"/>
  <c r="K8" i="12"/>
  <c r="K9" i="30"/>
  <c r="F11" i="27"/>
  <c r="J11" i="12" l="1"/>
  <c r="M19" i="12" s="1"/>
  <c r="L9" i="30"/>
  <c r="M9" i="30" s="1"/>
  <c r="L8" i="12"/>
  <c r="K11" i="12"/>
  <c r="M8" i="30"/>
  <c r="K10" i="30"/>
  <c r="G11" i="27"/>
  <c r="H11" i="27" s="1"/>
  <c r="F8" i="21"/>
  <c r="C8" i="27"/>
  <c r="H8" i="27" s="1"/>
  <c r="C12" i="27"/>
  <c r="C26" i="27" s="1"/>
  <c r="C29" i="27"/>
  <c r="D6" i="27" s="1"/>
  <c r="D29" i="25"/>
  <c r="E29" i="25" s="1"/>
  <c r="C30" i="27" l="1"/>
  <c r="C8" i="29"/>
  <c r="L10" i="30"/>
  <c r="K12" i="30"/>
  <c r="L26" i="30" s="1"/>
  <c r="N8" i="30"/>
  <c r="L11" i="12"/>
  <c r="D15" i="12"/>
  <c r="M8" i="12"/>
  <c r="M9" i="12" s="1"/>
  <c r="N9" i="30"/>
  <c r="C5" i="29" l="1"/>
  <c r="C24" i="29" s="1"/>
  <c r="D13" i="12"/>
  <c r="M21" i="12"/>
  <c r="M10" i="30"/>
  <c r="L12" i="30"/>
  <c r="D12" i="27"/>
  <c r="E25" i="30"/>
  <c r="D17" i="30" l="1"/>
  <c r="D26" i="27"/>
  <c r="D16" i="30"/>
  <c r="M12" i="30"/>
  <c r="N10" i="30"/>
  <c r="D15" i="30" s="1"/>
  <c r="F25" i="30"/>
  <c r="D29" i="27" l="1"/>
  <c r="N12" i="30"/>
  <c r="D14" i="30"/>
  <c r="L28" i="30"/>
  <c r="E6" i="27"/>
  <c r="G25" i="30"/>
  <c r="D30" i="27" l="1"/>
  <c r="E26" i="30" s="1"/>
  <c r="D8" i="29"/>
  <c r="D5" i="29" s="1"/>
  <c r="D24" i="29" s="1"/>
  <c r="E12" i="27"/>
  <c r="E26" i="27" s="1"/>
  <c r="E29" i="27" l="1"/>
  <c r="F26" i="30"/>
  <c r="G26" i="30" s="1"/>
  <c r="E8" i="29" l="1"/>
  <c r="E5" i="29" s="1"/>
  <c r="E24" i="29" s="1"/>
  <c r="F6" i="27"/>
  <c r="E30" i="27"/>
  <c r="E27" i="30" l="1"/>
  <c r="F12" i="27"/>
  <c r="F26" i="27" s="1"/>
  <c r="F29" i="27" l="1"/>
  <c r="F27" i="30"/>
  <c r="F8" i="29" l="1"/>
  <c r="F5" i="29" s="1"/>
  <c r="F24" i="29" s="1"/>
  <c r="G6" i="27"/>
  <c r="G27" i="30"/>
  <c r="F30" i="27"/>
  <c r="E28" i="30" l="1"/>
  <c r="F28" i="30" l="1"/>
  <c r="G28" i="30" l="1"/>
  <c r="C44" i="21" l="1"/>
  <c r="E42" i="21"/>
  <c r="E43" i="21"/>
  <c r="E44" i="21" s="1"/>
  <c r="D32" i="25"/>
  <c r="E32" i="25" s="1"/>
  <c r="D40" i="29"/>
  <c r="D38" i="29"/>
  <c r="B31" i="30"/>
  <c r="C34" i="25"/>
  <c r="B34" i="25"/>
  <c r="B7" i="27"/>
  <c r="B31" i="29"/>
  <c r="B35" i="29" s="1"/>
  <c r="B38" i="29"/>
  <c r="B40" i="29" l="1"/>
  <c r="H7" i="27"/>
  <c r="B12" i="27"/>
  <c r="F35" i="29"/>
  <c r="F38" i="29" s="1"/>
  <c r="E35" i="29"/>
  <c r="C31" i="29"/>
  <c r="C35" i="29" s="1"/>
  <c r="E31" i="25"/>
  <c r="C40" i="29" l="1"/>
  <c r="C38" i="29"/>
  <c r="E40" i="29"/>
  <c r="E38" i="29"/>
  <c r="F40" i="29"/>
  <c r="H24" i="30"/>
  <c r="H25" i="30" l="1"/>
  <c r="H26" i="30" s="1"/>
  <c r="H27" i="30" s="1"/>
  <c r="H28" i="30" s="1"/>
  <c r="H6" i="27"/>
  <c r="H12" i="27" s="1"/>
  <c r="G12" i="27"/>
  <c r="G26" i="27" s="1"/>
  <c r="H26" i="27" s="1"/>
  <c r="G29" i="27" l="1"/>
  <c r="G30" i="27" s="1"/>
  <c r="H30" i="27" s="1"/>
  <c r="G8" i="29" l="1"/>
  <c r="G5" i="29" s="1"/>
  <c r="G24" i="29" s="1"/>
  <c r="L36" i="30" s="1"/>
  <c r="H29" i="27"/>
  <c r="E29" i="30"/>
  <c r="F29" i="30" s="1"/>
  <c r="G38" i="29" l="1"/>
  <c r="E31" i="30"/>
  <c r="G40" i="29"/>
  <c r="F31" i="30"/>
  <c r="G29" i="30"/>
  <c r="D37" i="30" l="1"/>
  <c r="H29" i="30"/>
  <c r="G31" i="30"/>
  <c r="D36" i="30"/>
  <c r="L34" i="30" l="1"/>
  <c r="L31" i="30"/>
  <c r="L30" i="30"/>
  <c r="L33" i="30"/>
  <c r="L32" i="30"/>
  <c r="D35" i="30"/>
  <c r="H3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tc={C6A36AB6-6A97-4294-AB33-D56732A9E410}</author>
  </authors>
  <commentList>
    <comment ref="D4" authorId="0" shapeId="0" xr:uid="{C6A36AB6-6A97-4294-AB33-D56732A9E4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Sale del técnico (ej 6 a 11)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tc={F3C2F626-B91D-4F46-B9B2-2311D736F6CB}</author>
    <author>tc={42141B42-B524-413F-9B65-A83336A63F0D}</author>
    <author>tc={F7BD38D8-FDBD-4B4D-941D-8F26CAD1CF6B}</author>
  </authors>
  <commentList>
    <comment ref="D72" authorId="0" shapeId="0" xr:uid="{F3C2F626-B91D-4F46-B9B2-2311D736F6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porcentajes salen de práctica dada por catedra</t>
      </text>
    </comment>
    <comment ref="D82" authorId="1" shapeId="0" xr:uid="{42141B42-B524-413F-9B65-A83336A63F0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optenidos del  ejercicio 19- I4DT1 EJERCICIOS DE APLICADION
</t>
      </text>
    </comment>
    <comment ref="E87" authorId="2" shapeId="0" xr:uid="{F7BD38D8-FDBD-4B4D-941D-8F26CAD1CF6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porcentaje es obtenido del ejercicio 14 de amortización 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tc={7F9A97BA-A8C5-464C-8897-6213A3A75426}</author>
  </authors>
  <commentList>
    <comment ref="A24" authorId="0" shapeId="0" xr:uid="{7F9A97BA-A8C5-464C-8897-6213A3A754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ACTIVO TOTAL=PASIVO+PATRIMONIO NETO</t>
      </text>
    </comment>
  </commentList>
</comments>
</file>

<file path=xl/sharedStrings.xml><?xml version="1.0" encoding="utf-8"?>
<sst xmlns="http://schemas.openxmlformats.org/spreadsheetml/2006/main" count="2012" uniqueCount="1111">
  <si>
    <t>Plan de Ventas (Dim Comercial)</t>
  </si>
  <si>
    <t xml:space="preserve">Año </t>
  </si>
  <si>
    <t>Año 1</t>
  </si>
  <si>
    <t>Año 2</t>
  </si>
  <si>
    <t>Año 3</t>
  </si>
  <si>
    <t>Año 4</t>
  </si>
  <si>
    <t>Año 5</t>
  </si>
  <si>
    <t>Cantidad [Tn]</t>
  </si>
  <si>
    <t>Peso c/bobina</t>
  </si>
  <si>
    <t>Cantidad [u]</t>
  </si>
  <si>
    <t>Peso c/bobina [KG)</t>
  </si>
  <si>
    <t>Precio de venta [$/kg]</t>
  </si>
  <si>
    <t xml:space="preserve">Ingreso Total </t>
  </si>
  <si>
    <t xml:space="preserve">Cuadro evolucion mercaderia </t>
  </si>
  <si>
    <t>Año 0</t>
  </si>
  <si>
    <t xml:space="preserve">Año 1 </t>
  </si>
  <si>
    <t>Año 2 a 5</t>
  </si>
  <si>
    <t>unidades</t>
  </si>
  <si>
    <t>Dólar septiembre 2022</t>
  </si>
  <si>
    <t>Ventas</t>
  </si>
  <si>
    <t>kg</t>
  </si>
  <si>
    <t xml:space="preserve">Fuente: </t>
  </si>
  <si>
    <t>https://dolarhoy.com/cotizacion-dolar-banco-nacion</t>
  </si>
  <si>
    <t>Stock promedio de elaborados</t>
  </si>
  <si>
    <t xml:space="preserve">Se tomará para los cálculos el promedio entre compra y venta </t>
  </si>
  <si>
    <t>Producción</t>
  </si>
  <si>
    <t>Compra:</t>
  </si>
  <si>
    <t>$</t>
  </si>
  <si>
    <t>Mermas y desperdicios</t>
  </si>
  <si>
    <t>Venta:</t>
  </si>
  <si>
    <t>Mercadería en proceso</t>
  </si>
  <si>
    <t>en curso y semi elab</t>
  </si>
  <si>
    <t>Promedio:</t>
  </si>
  <si>
    <t>Consumo de materias primas</t>
  </si>
  <si>
    <t>Stock promedio de materias primas</t>
  </si>
  <si>
    <t xml:space="preserve">Tasa de crédito Bancario Banco Nación </t>
  </si>
  <si>
    <t>Compras de materias primas</t>
  </si>
  <si>
    <t>https://www.bice.com.ar/productos/linea-pymes/</t>
  </si>
  <si>
    <t>Transformación kg a un.</t>
  </si>
  <si>
    <t>un</t>
  </si>
  <si>
    <t xml:space="preserve">cuadro evolucion de bobinas </t>
  </si>
  <si>
    <t>Tasa</t>
  </si>
  <si>
    <t>%</t>
  </si>
  <si>
    <t>%MCySE año 1</t>
  </si>
  <si>
    <t>Porcentaje a financiar</t>
  </si>
  <si>
    <t>unidad de bobina de hilo de 4kg</t>
  </si>
  <si>
    <t xml:space="preserve">Gastos bancarios </t>
  </si>
  <si>
    <t>Perimetro de planta</t>
  </si>
  <si>
    <t>mtrs</t>
  </si>
  <si>
    <t>Calculo a partir de Lay Out</t>
  </si>
  <si>
    <t>Meses</t>
  </si>
  <si>
    <t>Horas por dia</t>
  </si>
  <si>
    <t>dias habiles</t>
  </si>
  <si>
    <t>Horas totales</t>
  </si>
  <si>
    <t>Periodo de instalación industrial</t>
  </si>
  <si>
    <t>un de 250 gr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</si>
  <si>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</si>
  <si>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</si>
  <si>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</si>
  <si>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</si>
  <si>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</si>
  <si>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</si>
  <si>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</si>
  <si>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</si>
  <si>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</si>
  <si>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</si>
  <si>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</si>
  <si>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</si>
  <si>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</si>
  <si>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</si>
  <si>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</si>
  <si>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</si>
  <si>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</si>
  <si>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</si>
  <si>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</si>
  <si>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>Otros Activos y Cargos Diferidos</t>
  </si>
  <si>
    <t>Imprevistos</t>
  </si>
  <si>
    <t>Nombre del Producto</t>
  </si>
  <si>
    <t>Hilos R-PET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</si>
  <si>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</si>
  <si>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</si>
  <si>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</si>
  <si>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</si>
  <si>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</si>
  <si>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</si>
  <si>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</si>
  <si>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</si>
  <si>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</si>
  <si>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</si>
  <si>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</si>
  <si>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*ver plano de Planta Dim. Físico</t>
  </si>
  <si>
    <t>Periodo de Instalación</t>
  </si>
  <si>
    <t>en meses</t>
  </si>
  <si>
    <t>*ver cronograma de ejecución Dim. Físico</t>
  </si>
  <si>
    <t>Período de Puesta en Marcha</t>
  </si>
  <si>
    <t>Tasa de Cambio</t>
  </si>
  <si>
    <t>$ por cada</t>
  </si>
  <si>
    <t>U$S</t>
  </si>
  <si>
    <t>Tasa de Crédito Bancario</t>
  </si>
  <si>
    <t>anual</t>
  </si>
  <si>
    <t>Rubro a financiar</t>
  </si>
  <si>
    <t>Textil</t>
  </si>
  <si>
    <t>Año 6</t>
  </si>
  <si>
    <t>% sobre el total del Rubro</t>
  </si>
  <si>
    <t>Días de Financiación de Proveedores</t>
  </si>
  <si>
    <t>% sobre Compras</t>
  </si>
  <si>
    <t>Tasa de financiación</t>
  </si>
  <si>
    <t>Maidana</t>
  </si>
  <si>
    <t>BIENES DE USO</t>
  </si>
  <si>
    <t>Edificio y obras complementarias</t>
  </si>
  <si>
    <t>Equipo</t>
  </si>
  <si>
    <t>Cantidad</t>
  </si>
  <si>
    <t>Precio unitario</t>
  </si>
  <si>
    <t>Precio total</t>
  </si>
  <si>
    <t>Referencia</t>
  </si>
  <si>
    <t>Galpón parque industrial. Lote 18, 2154m2</t>
  </si>
  <si>
    <t>https://terreno.mercadolibre.com.ar/MLA-1201627773-ultimo-lote-de-8600m2-en-parque-industrial-en-197-panamericana-_JM#position=1&amp;search_layout=grid&amp;type=item&amp;tracking_id=3282a7a9-e3ac-4b56-b7f2-59d12d40354e</t>
  </si>
  <si>
    <t>Muebles y útiles</t>
  </si>
  <si>
    <t>(Dim. Físico-Listado de Equipos auxiliares, MyU)</t>
  </si>
  <si>
    <t>Denominación</t>
  </si>
  <si>
    <t>Precio [$]</t>
  </si>
  <si>
    <t>Total [$]</t>
  </si>
  <si>
    <t>Fuente</t>
  </si>
  <si>
    <t>Escritorio</t>
  </si>
  <si>
    <t>https://listado.mercadolibre.com.ar/escritorio-de-oficina#D[A:escritorio%20de%20oficina]</t>
  </si>
  <si>
    <t>Silla de escritorio</t>
  </si>
  <si>
    <t>https://desillas.com/producto-2676-sillon-lancaster.html?gclid=Cj0KCQjwhsmaBhCvARIsAIbEbH4MuD7ASmt43CdgDowSvyp9MPxIAppzlQqUzO61EI8ERo9v6WdSVHwaAltnEALw_wcB#12676052</t>
  </si>
  <si>
    <t>Aire acondicionado frio/calor</t>
  </si>
  <si>
    <t>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</t>
  </si>
  <si>
    <t>Notebook</t>
  </si>
  <si>
    <t>https://www.musimundo.com/informatica/notebook/notebook-hp-14-dq2029la-intel-core-i5/p/00454005?&amp;utm_source=braindw&amp;utm_medium=g%C3%B3ndola-masvendidos-cateogoria&amp;utm_campaign=g%C3%B3ndola-masvendidos-cateogoria</t>
  </si>
  <si>
    <t>Computadoras</t>
  </si>
  <si>
    <t>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</t>
  </si>
  <si>
    <t>Impresora</t>
  </si>
  <si>
    <t>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</t>
  </si>
  <si>
    <t>Armario</t>
  </si>
  <si>
    <t>https://articulo.mercadolibre.com.ar/MLA-776320001-mueble-auxiliar-bajo-oficina-escritorio-ote-muebles-_JM#position=2&amp;search_layout=grid&amp;type=item&amp;tracking_id=0578791d-eb0b-48e2-88db-9723fd138cd3</t>
  </si>
  <si>
    <t>Caja fuerte</t>
  </si>
  <si>
    <t>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</t>
  </si>
  <si>
    <t>Telefono de oficina</t>
  </si>
  <si>
    <t>https://www.mercadolibre.com.ar/telefono-fijo-noblex-nct300-negro/p/MLA7979292#reco_item_pos=0&amp;reco_backend=machinalis-pdp-v2p&amp;reco_backend_type=low_level&amp;reco_client=pdp-v2p&amp;reco_id=14a3901e-a85c-46bb-90ae-509749f0aa93</t>
  </si>
  <si>
    <t>TV</t>
  </si>
  <si>
    <t>https://www.mercadolibre.com.ar/smart-tv-tcl-s60a-series-l32s60a-led-hd-32-100v240v/p/MLA16266563#searchVariation=MLA16266563&amp;position=1&amp;search_layout=stack&amp;type=product&amp;tracking_id=7c9d82e7-eccc-457a-ba45-7cabe5d0d358</t>
  </si>
  <si>
    <t>Heladera</t>
  </si>
  <si>
    <t>https://www.mercadolibre.com.ar/heladera-patrick-hpk135m00b01-blanca-con-freezer-264l-220v/p/MLA17827341?pdp_filters=category:MLA398582#searchVariation=MLA17827341&amp;position=1&amp;search_layout=stack&amp;type=product&amp;tracking_id=cf35afda-f493-4217-b220-7f68514f6bc6</t>
  </si>
  <si>
    <t>Cafetera</t>
  </si>
  <si>
    <t>https://www.mercadolibre.com.ar/cafetera-oster-bvstdc10ss-automatica-negra-220v/p/MLA15589099?pdp_filters=category:MLA4340#searchVariation=MLA15589099&amp;position=1&amp;search_layout=stack&amp;type=product&amp;tracking_id=b6a19907-4e9a-4b34-80d7-41e2ee314e58</t>
  </si>
  <si>
    <t>Horno microondas</t>
  </si>
  <si>
    <t>https://www.mercadolibre.com.ar/microondas-bgh-quick-chef-b120db9-blanco-20l-220v/p/MLA15237032?pdp_filters=category:MLA1577#searchVariation=MLA15237032&amp;position=2&amp;search_layout=grid&amp;type=product&amp;tracking_id=dada3120-26c1-48df-a83d-22f4b113ad10</t>
  </si>
  <si>
    <t>Fax</t>
  </si>
  <si>
    <t>https://articulo.mercadolibre.com.ar/MLA-761587527-telefono-fax-panasonic-kx-tf982-caller-id-en-stock-ya-_JM?matt_tool=13046721&amp;matt_word=&amp;matt_source=google&amp;matt_campaign_id=14508409574&amp;matt_ad_group_id=124055982182&amp;matt_match_type=&amp;matt_network=g&amp;matt_device=c&amp;matt_creative=543251949507&amp;matt_keyword=&amp;matt_ad_position=&amp;matt_ad_type=pla&amp;matt_merchant_id=243808153&amp;matt_product_id=MLA761587527&amp;matt_product_partition_id=1636123262574&amp;matt_target_id=pla-1636123262574&amp;gclid=CjwKCAjwx7GYBhB7EiwA0d8oe_5sg6lkr4mHYLhZENbknD0x_EkTpEMJW852XjM71vXa0kaavyGd_RoCxVoQAvD_BwE</t>
  </si>
  <si>
    <t>Fichero de entrada</t>
  </si>
  <si>
    <t>Reloj Control Personal Tarjeta Fichero Entrada/salida | Envío gratis (mercadolibre.com.ar)</t>
  </si>
  <si>
    <t>Pava Electrica</t>
  </si>
  <si>
    <t>https://articulo.mercadolibre.com.ar/MLA-1158566259-pava-electrica-jarra-acero-inoxidable-mate-cafe-2-litros-_JM#position=29&amp;search_layout=stack&amp;type=item&amp;tracking_id=d4da9a15-9b11-4042-8a49-f16b01251702</t>
  </si>
  <si>
    <t>Mesa De Reuniones</t>
  </si>
  <si>
    <t>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</t>
  </si>
  <si>
    <t>Celulares</t>
  </si>
  <si>
    <t>https://tienda.personal.com.ar/tienda/motorola-moto-g200-remote-morado-128-gb</t>
  </si>
  <si>
    <t>Detectores de humo</t>
  </si>
  <si>
    <t>https://articulo.mercadolibre.com.ar/MLA-617546425-detector-de-humo-para-alarmas-dsc-alonso-marshall-_JM#position=1&amp;search_layout=stack&amp;type=pad&amp;tracking_id=f0e11f35-041e-4f68-bc75-f507f4221c5e#position=1&amp;search_layout=stack&amp;type=pad&amp;tracking_id=f0e11f35-041e-4f68-bc75-f507f4221c5e&amp;is_advertising=true&amp;ad_domain=VQCATCORE_LST&amp;ad_position=1&amp;ad_click_id=NWM4MDY5OGYtMGExMC00OWQyLTg1ZDQtYjE2ZTQ1ZWZjYzUy</t>
  </si>
  <si>
    <t>Alarma contra incendios</t>
  </si>
  <si>
    <t>https://articulo.mercadolibre.com.ar/MLA-864678244-sirena-con-strobo-incendio-interior-system-sensor-1224-v-_JM#position=14&amp;search_layout=stack&amp;type=item&amp;tracking_id=e140c3b9-d171-4000-abd4-cc83a3eb85c7</t>
  </si>
  <si>
    <t>Matafuegos A, B, C</t>
  </si>
  <si>
    <t>https://articulo.mercadolibre.com.ar/MLA-870343938-matafuego-abc-de-10kg-con-habilitacion-y-soporte-cabaprov-_JM#position=3&amp;search_layout=stack&amp;type=item&amp;tracking_id=da14b8cb-3675-4454-aa6f-1fdc93d370dc</t>
  </si>
  <si>
    <t>Aspersores</t>
  </si>
  <si>
    <t>https://articulo.mercadolibre.com.ar/MLA-723206844-sprinkler-de-incendio-ul-bronce-rosca-de-12-bulbo-68-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632501405&amp;matt_product_id=MLA723206844&amp;matt_product_partition_id=1730485668402&amp;matt_target_id=pla-1730485668402&amp;gclid=Cj0KCQjwvZCZBhCiARIsAPXbajtsLgDXaI8fqBXCMD3LqXSxWn89hWYSs2uWFQ-rxn0XqIybBWN8JQkaAlfaEALw_wcB</t>
  </si>
  <si>
    <t>Zorra Hidraulica</t>
  </si>
  <si>
    <t>https://articulo.mercadolibre.com.ar/MLA-603877434-zorra-hidraulica-para-palets-capacidad-de-carga-3000-kg-ancha-680-mm-nueva-reforzada-_JM#position=1&amp;search_layout=stack&amp;type=item&amp;tracking_id=489b1133-0d3c-43f1-822c-c2d05b3eb548</t>
  </si>
  <si>
    <t xml:space="preserve">Horno </t>
  </si>
  <si>
    <t>https://www.musimundo.com/electrohogar/cocinas/cocina-morelli-forza-900-puerta-visor-5-h/p/00188006?gclid=Cj0KCQjwhsmaBhCvARIsAIbEbH4FqQ4eyJ4V7g65MXjyHox_hOaHy31Dny5ZMSYbL07ibCsYwq7VgD8aAmfmEALw_wcB</t>
  </si>
  <si>
    <t>Sillas Comedor</t>
  </si>
  <si>
    <t>https://articulo.mercadolibre.com.ar/MLA-1124900352-silla-comedor-industrial-metal-reforzada-apilable-tolix-x6-_JM?searchVariation=174240299027#searchVariation=174240299027&amp;position=3&amp;search_layout=grid&amp;type=item&amp;tracking_id=22c2007f-d6da-428e-a03f-def9688d5934</t>
  </si>
  <si>
    <t>Mesas Comedor</t>
  </si>
  <si>
    <t>https://articulo.mercadolibre.com.ar/MLA-723278664-mesa-industrial-80x180-patas-de-hierro-tapa-color-madera-_JM?searchVariation=36130025560#searchVariation=36130025560&amp;position=24&amp;search_layout=grid&amp;type=item&amp;tracking_id=ed2f0b67-c03d-48e6-ac40-acd109796042</t>
  </si>
  <si>
    <t>TOTALES</t>
  </si>
  <si>
    <t>Máquinas operativas importadas</t>
  </si>
  <si>
    <t>Extrusora para PET - JWM 55/25</t>
  </si>
  <si>
    <t>Precio cotizado vía email por el proveedor</t>
  </si>
  <si>
    <t>Incluye 5% de repuestos</t>
  </si>
  <si>
    <t>TAMIZ MALLA - 1MM</t>
  </si>
  <si>
    <t>Devanadora Serie Sincro D - D SW 1000m/min</t>
  </si>
  <si>
    <t>Bobinadoras Sincro RT -RC - RT RC 1800m/min</t>
  </si>
  <si>
    <t>Hot Godet (Rodillos) - Jiamei Technology</t>
  </si>
  <si>
    <t>Máquinas operativas nacionales</t>
  </si>
  <si>
    <t>Maquina universal de ensayos digimess MX- 5000</t>
  </si>
  <si>
    <t>GASTOS ASIMILABLES O CARGOS DIFERIDOS</t>
  </si>
  <si>
    <t>Constitución y organización de la empresa</t>
  </si>
  <si>
    <t>Total</t>
  </si>
  <si>
    <t>http://www.portalsocietario.com.ar/constitucionsrl-ciudad.html</t>
  </si>
  <si>
    <t>Gastos de Admin. e Ing. En en período de Instalación</t>
  </si>
  <si>
    <t>Precio por hora de ingeniero industrial</t>
  </si>
  <si>
    <t>Cantidad de horas</t>
  </si>
  <si>
    <t>https://www.nexo-consulting.com/?gclid=Cj0KCQjwtMCKBhDAARIsAG-2Eu8W0pvqS3Og96N-x4PWSN3LM8Xu2I55qD5iFXwVIcci8L6ou3zC83oaAkC4EALw_wcB</t>
  </si>
  <si>
    <t xml:space="preserve">Publicidad y Marca- Patentes y Licencias					</t>
  </si>
  <si>
    <t>Detalles</t>
  </si>
  <si>
    <t>Publicidad y Marca</t>
  </si>
  <si>
    <t>https://www.argentina.gob.ar/inpi/marcas/registrar-una-marca</t>
  </si>
  <si>
    <t>Registro de marca y exposición en stand de feria industrial</t>
  </si>
  <si>
    <t>SISTEMA SALESFORCE</t>
  </si>
  <si>
    <t> </t>
  </si>
  <si>
    <t>Precio mensual</t>
  </si>
  <si>
    <t>SISTEMA TANGO</t>
  </si>
  <si>
    <t>Precio licencia</t>
  </si>
  <si>
    <t>PAQUETE SOFTWARE (office 365)</t>
  </si>
  <si>
    <t>Patentes y Licencias</t>
  </si>
  <si>
    <t>https://www.argentina.gob.ar/sites/default/files/aranceles_vigentesinpi19.pdf</t>
  </si>
  <si>
    <t>Licencia softwares</t>
  </si>
  <si>
    <t>Instalaciones Industriales</t>
  </si>
  <si>
    <t xml:space="preserve">Instalaciones </t>
  </si>
  <si>
    <t>Unidad de medida</t>
  </si>
  <si>
    <t>Conexion de Gas</t>
  </si>
  <si>
    <t>$/metro</t>
  </si>
  <si>
    <t>https://servicio.mercadolibre.com.ar/MLA-1167154428-instalacion-de-gas-natural-gasista-matriculado-110000-_JM#position=4&amp;search_layout=stack&amp;type=item&amp;tracking_id=3b5033f1-e9c8-40a3-a0bd-57e63847851f</t>
  </si>
  <si>
    <t>Habilitación de Gas</t>
  </si>
  <si>
    <t>https://homesolution.net/ar/about/preciosreferencia/gasista</t>
  </si>
  <si>
    <t>Conexión Eléctrica</t>
  </si>
  <si>
    <t>$/hora</t>
  </si>
  <si>
    <t>https://www.iprofesional.com/actualidad/367715-mano-de-obra-electrica-precios-y-tabla-de-costo-2022-argentina</t>
  </si>
  <si>
    <t>Instalación de equipos eléctricos</t>
  </si>
  <si>
    <t>https://homesolution.net/ar/about/preciosreferencia/electricista</t>
  </si>
  <si>
    <t>Habilitación eléctrica</t>
  </si>
  <si>
    <t>Elementos de instalación eléctrica</t>
  </si>
  <si>
    <t>-</t>
  </si>
  <si>
    <t>TOTAL</t>
  </si>
  <si>
    <t>Transformador industrial</t>
  </si>
  <si>
    <t>https://articulo.mercadolibre.com.ar/MLA-912073941-transformador-380v-110v-200w-industrial-celenia-_JM#position=4&amp;search_layout=stack&amp;type=item&amp;tracking_id=a3ee9889-4c16-4682-a0a9-2dad5ce30308</t>
  </si>
  <si>
    <t>Tablero eléctrico</t>
  </si>
  <si>
    <t>https://articulo.mercadolibre.com.ar/MLA-886428461-distribuidor-de-tension-trifasico-63a-_JM#position=30&amp;search_layout=stack&amp;type=item&amp;tracking_id=7d2d7fcc-8f48-436e-9955-c65cd158abca</t>
  </si>
  <si>
    <t>Toma corriente</t>
  </si>
  <si>
    <t>https://articulo.mercadolibre.com.ar/MLA-856919586-llave-toma-corriente-doble-exterior-enchufe-aplicar-jeluz-_JM?searchVariation=56415635697#searchVariation=56415635697&amp;position=6&amp;search_layout=stack&amp;type=item&amp;tracking_id=dbba8ec9-3ea5-4a44-a272-5ab550b2d7eb</t>
  </si>
  <si>
    <t xml:space="preserve">Consumo MP para programa de produccion </t>
  </si>
  <si>
    <t>valor MP</t>
  </si>
  <si>
    <t>VALOR MP</t>
  </si>
  <si>
    <t>$/kg</t>
  </si>
  <si>
    <t xml:space="preserve">Condumo MP año1 </t>
  </si>
  <si>
    <t>Primeros 3 meses  (PM)</t>
  </si>
  <si>
    <t xml:space="preserve">Resto del año </t>
  </si>
  <si>
    <t>Unid</t>
  </si>
  <si>
    <t>Total año 1=</t>
  </si>
  <si>
    <t>Stock de MP Año 0</t>
  </si>
  <si>
    <t>HILO PET- MATERIALES PARA LA CONFORMACION DEL PRODUCTO TERMINADO</t>
  </si>
  <si>
    <t>N° Item</t>
  </si>
  <si>
    <t>Descripción</t>
  </si>
  <si>
    <t>Nivel</t>
  </si>
  <si>
    <t xml:space="preserve">UNIDAD </t>
  </si>
  <si>
    <t>VALOR UNITARIO [$]</t>
  </si>
  <si>
    <t>COSTOS AÑO 1</t>
  </si>
  <si>
    <t>COSTOS AÑO 2 AL N</t>
  </si>
  <si>
    <t>C02</t>
  </si>
  <si>
    <t>Caja carton corrugado</t>
  </si>
  <si>
    <t>Caja Carton Embalaje 40x30x30 Mudanza Doble Reforzada X50 | Envío gratis (mercadolibre.com.ar)</t>
  </si>
  <si>
    <t>BNY01</t>
  </si>
  <si>
    <t>Bolsa de Nylon</t>
  </si>
  <si>
    <t>Bolsa Arranque Rolan 30 X 40 750 Grs. Bulto X 6 Rollos | MercadoLibre</t>
  </si>
  <si>
    <t>B01</t>
  </si>
  <si>
    <t>Bobina</t>
  </si>
  <si>
    <t>Kg</t>
  </si>
  <si>
    <t>Conos Plásticos 11 Cms Vacíos De Hilos De Coser X 36 Unidade | MercadoLibre</t>
  </si>
  <si>
    <t>PE01</t>
  </si>
  <si>
    <t>Pellets reciclados</t>
  </si>
  <si>
    <t>se consulto via mail</t>
  </si>
  <si>
    <t>ET01</t>
  </si>
  <si>
    <t>Etiqueta de embalaje</t>
  </si>
  <si>
    <t>https://articulo.mercadolibre.com.ar/MLA-927700472-12-rollos-de-etiquetas-termicas-troqueladas-de-100-x-190-mm-_JM#position=2&amp;search_layout=stack&amp;type=item&amp;tracking_id=bb216e86-0421-4481-8842-4f09ca6a8059</t>
  </si>
  <si>
    <t>COSTO DEL PRODUCTO TERMINADO</t>
  </si>
  <si>
    <t>MANO DE OBRA- INDUSTRIA TEXTIL</t>
  </si>
  <si>
    <t>Personal</t>
  </si>
  <si>
    <t>Sueldo bruto</t>
  </si>
  <si>
    <t>Sueldo + CS.</t>
  </si>
  <si>
    <t>total mensual</t>
  </si>
  <si>
    <t xml:space="preserve">TOTAL </t>
  </si>
  <si>
    <t>Salario Neto</t>
  </si>
  <si>
    <t>GERENCIA  GENERAL</t>
  </si>
  <si>
    <t>IND.</t>
  </si>
  <si>
    <t>Escalas salariales | Argentina.gob.ar</t>
  </si>
  <si>
    <t>JEFE DEPTO ADMINISTRACION</t>
  </si>
  <si>
    <t>JEFE DEPTO COMERCIAL</t>
  </si>
  <si>
    <t>Sueldo empleado de comercio Argentina 2022 (iprofesional.com)</t>
  </si>
  <si>
    <t>CONTABILIDAD Y FACTURACION</t>
  </si>
  <si>
    <t>RRHH</t>
  </si>
  <si>
    <t>COMPRAS</t>
  </si>
  <si>
    <t>=</t>
  </si>
  <si>
    <t xml:space="preserve">ATENCION AL CLIENTE </t>
  </si>
  <si>
    <t xml:space="preserve">MARKETING </t>
  </si>
  <si>
    <t>VENDEDOR</t>
  </si>
  <si>
    <t>LOGISTICA</t>
  </si>
  <si>
    <t>SALARIOS-MARZO-2022.pdf (fadeeac.org.ar)</t>
  </si>
  <si>
    <t>JEFE DE PRODUCCION</t>
  </si>
  <si>
    <t>MOD</t>
  </si>
  <si>
    <t>Escala salarial junio22-Mayo 2023 FE DE ERRATAS.pdf (setia.org.ar)</t>
  </si>
  <si>
    <t xml:space="preserve">CALIDAD </t>
  </si>
  <si>
    <t>Unión Cortadores de la Indumentaria (uci.org.ar)</t>
  </si>
  <si>
    <t xml:space="preserve">TECNICO DE TALLER </t>
  </si>
  <si>
    <t>OPERARIOS</t>
  </si>
  <si>
    <t>Amortizaciones</t>
  </si>
  <si>
    <t>Gasto de fabricacion (absorve el 95% de las amortizaciones)</t>
  </si>
  <si>
    <t>Gastos adm (absorve el 2,5% de las amortizaciones)</t>
  </si>
  <si>
    <t>Gastos comerciales (absorve el 2,5% de las amortizaciones)</t>
  </si>
  <si>
    <t>Alicuota año 1 al 3</t>
  </si>
  <si>
    <t>año1</t>
  </si>
  <si>
    <t>alic/prod año 1</t>
  </si>
  <si>
    <t>Alicuota año 4 y 5</t>
  </si>
  <si>
    <t>año 2 y 3</t>
  </si>
  <si>
    <t>alic/prod2y3</t>
  </si>
  <si>
    <t>Vol. produc anual (año 2 a 5)</t>
  </si>
  <si>
    <t>kg  (extraido dim.fisico)</t>
  </si>
  <si>
    <t>u</t>
  </si>
  <si>
    <t>Tarifa</t>
  </si>
  <si>
    <t>Precio por KW</t>
  </si>
  <si>
    <t>Vol. Produc anual (año1)</t>
  </si>
  <si>
    <t>Cargo fijo</t>
  </si>
  <si>
    <t>unid</t>
  </si>
  <si>
    <t>Cargo por potencia</t>
  </si>
  <si>
    <t>Imputacion especifica año 4 y 5</t>
  </si>
  <si>
    <t>Cargo Variable</t>
  </si>
  <si>
    <t xml:space="preserve">Amortizaciones </t>
  </si>
  <si>
    <t>Amortizaciones imputadas a la mercaderia en curso y semielaborados</t>
  </si>
  <si>
    <t>Porcentaje Producción:</t>
  </si>
  <si>
    <t>Porcentaje Admin-Comer:</t>
  </si>
  <si>
    <t>DIAS AÑO:</t>
  </si>
  <si>
    <t>año 4 y 5</t>
  </si>
  <si>
    <t>Energía eléctrica</t>
  </si>
  <si>
    <t>Cuadro Tarifario (enre.gov.ar)</t>
  </si>
  <si>
    <t>Consumo unitario  mensual promedio[KW/h]</t>
  </si>
  <si>
    <t>PRODU/HS</t>
  </si>
  <si>
    <t>PRODU ANUAL</t>
  </si>
  <si>
    <t>COMER/HS</t>
  </si>
  <si>
    <t>COMER ANUAL</t>
  </si>
  <si>
    <t>ADMIN/HS</t>
  </si>
  <si>
    <t>ADMIN ANUAL</t>
  </si>
  <si>
    <t>Horas por día [hs]</t>
  </si>
  <si>
    <t>Consumo anual [KW/h]</t>
  </si>
  <si>
    <t>Consumo mesual [KW/h]</t>
  </si>
  <si>
    <t>Consumo anual [Kw/h]</t>
  </si>
  <si>
    <t>Cargo variable mensual</t>
  </si>
  <si>
    <t>Total mensual</t>
  </si>
  <si>
    <t>Total anual</t>
  </si>
  <si>
    <t>Aire acondicionado</t>
  </si>
  <si>
    <t>Consumo anual total: Dim físico</t>
  </si>
  <si>
    <t>Administración</t>
  </si>
  <si>
    <t>Máquina de café</t>
  </si>
  <si>
    <t>Comercialización</t>
  </si>
  <si>
    <t>Televisor</t>
  </si>
  <si>
    <t>Microondas</t>
  </si>
  <si>
    <t>PC de escritorio</t>
  </si>
  <si>
    <t>Costo fijo energía eléctrica</t>
  </si>
  <si>
    <t>Fax/Teléfono</t>
  </si>
  <si>
    <t>$/mes</t>
  </si>
  <si>
    <t>$/Kwh</t>
  </si>
  <si>
    <t>Pava eléctrica</t>
  </si>
  <si>
    <t>%variable</t>
  </si>
  <si>
    <t>%fijo</t>
  </si>
  <si>
    <t>Módem</t>
  </si>
  <si>
    <t>Luminaria LED</t>
  </si>
  <si>
    <t>Variable</t>
  </si>
  <si>
    <t>Fijo</t>
  </si>
  <si>
    <t>Puesta en marcha</t>
  </si>
  <si>
    <t>Gasto anual general</t>
  </si>
  <si>
    <t>Gasto anual producción</t>
  </si>
  <si>
    <t>Gasto anual comer</t>
  </si>
  <si>
    <t>Gasto anual admin</t>
  </si>
  <si>
    <t>Gasto en merc en proc</t>
  </si>
  <si>
    <t>Seguridad e Higiene</t>
  </si>
  <si>
    <t xml:space="preserve">Consumo total de MP año 1:             </t>
  </si>
  <si>
    <t>Sueldo técnico en Seg. e Hig</t>
  </si>
  <si>
    <t>Consumo de MP para merc en curso</t>
  </si>
  <si>
    <t xml:space="preserve">Consumo total de MP año 2 al n:        </t>
  </si>
  <si>
    <t xml:space="preserve">Horas xmes </t>
  </si>
  <si>
    <t xml:space="preserve">MATERIALES </t>
  </si>
  <si>
    <t xml:space="preserve">AÑO 1 </t>
  </si>
  <si>
    <t>AÑO 2</t>
  </si>
  <si>
    <t>AÑO 3</t>
  </si>
  <si>
    <t>AÑO 4</t>
  </si>
  <si>
    <t>AÑO 5</t>
  </si>
  <si>
    <t>Consumo Producción:</t>
  </si>
  <si>
    <t>Mantenimiento</t>
  </si>
  <si>
    <t>1,00%</t>
  </si>
  <si>
    <t>del total anual de bienes de uso</t>
  </si>
  <si>
    <t>Consumo Admin-Comer:</t>
  </si>
  <si>
    <t>Repuestos</t>
  </si>
  <si>
    <t>1,60 %</t>
  </si>
  <si>
    <t>ventas</t>
  </si>
  <si>
    <t>tn</t>
  </si>
  <si>
    <t>Total:</t>
  </si>
  <si>
    <t>1,50%</t>
  </si>
  <si>
    <t>del total anual del gasto de MP</t>
  </si>
  <si>
    <t>stock prom elab</t>
  </si>
  <si>
    <t>3,00%</t>
  </si>
  <si>
    <t>del total anual de Personal</t>
  </si>
  <si>
    <t xml:space="preserve">produccion </t>
  </si>
  <si>
    <t>Gasto Mensual</t>
  </si>
  <si>
    <t>desperdicio no rec</t>
  </si>
  <si>
    <t>gastos prod</t>
  </si>
  <si>
    <t>gastos comerciales</t>
  </si>
  <si>
    <t>consumo MP</t>
  </si>
  <si>
    <t>Gasto Total Producción:</t>
  </si>
  <si>
    <t>gastos administratios</t>
  </si>
  <si>
    <t>Stock prom MP</t>
  </si>
  <si>
    <t>Gasto Total Admin-Comer:</t>
  </si>
  <si>
    <t>Compra MP</t>
  </si>
  <si>
    <t>Redes y Telecomunicaciones</t>
  </si>
  <si>
    <t>Internet y telefonía</t>
  </si>
  <si>
    <t>https://telecom.com.ar/pymes/productos/conectividad/Infinite?gclid=Cj0KCQjwtMCKBhDAARIsAG-2Eu-707954ChKbcOdkR5cKiyd9WwMOoOTuFt3zjvVAxWaOU8oPXMRGNIaAoCxEALw_wcB</t>
  </si>
  <si>
    <t>Stock elaborado al final-</t>
  </si>
  <si>
    <t>Tasas e impuestos</t>
  </si>
  <si>
    <t>Stock elaborado al final +</t>
  </si>
  <si>
    <t>Variación</t>
  </si>
  <si>
    <t>Tasa municipal</t>
  </si>
  <si>
    <t>del valor del inmueble</t>
  </si>
  <si>
    <t>Correspondiente a Administración</t>
  </si>
  <si>
    <t>Impuesto inmobiliairio</t>
  </si>
  <si>
    <t>Valor del Terreno + Valor del Edificio</t>
  </si>
  <si>
    <t>Promoción y publicidad</t>
  </si>
  <si>
    <t>https://www.abproject.com.ar/es/landing/marketing-para-empresas#</t>
  </si>
  <si>
    <t xml:space="preserve">Calculo consumo MP </t>
  </si>
  <si>
    <t>(Ejercicio 9)</t>
  </si>
  <si>
    <t>Consumo MP PPM</t>
  </si>
  <si>
    <t>Sale del fisico (ejerc 6 a 11). Esta multiplicado por mil para convertir a kilos</t>
  </si>
  <si>
    <t>Costo de MP</t>
  </si>
  <si>
    <t>Gastos MP año 1</t>
  </si>
  <si>
    <t>Gastos MP mercaderia en curso</t>
  </si>
  <si>
    <t>Gastos MP año 2 al n</t>
  </si>
  <si>
    <t>Gasto de MOD</t>
  </si>
  <si>
    <t>GASTO ESPECIFICO</t>
  </si>
  <si>
    <t>Sueldo bruto de los 25 operarios</t>
  </si>
  <si>
    <t>Gasto anual</t>
  </si>
  <si>
    <t>Gastos MOD año 1</t>
  </si>
  <si>
    <t>Gasto PT</t>
  </si>
  <si>
    <t>Gastos MOD años 2 al 5</t>
  </si>
  <si>
    <t>Gasto SE Y MC</t>
  </si>
  <si>
    <t>Gastos MOD merc en curso</t>
  </si>
  <si>
    <t>PM</t>
  </si>
  <si>
    <t>Gasto MOI</t>
  </si>
  <si>
    <t>Gasto Anual</t>
  </si>
  <si>
    <t>Gasto especifico</t>
  </si>
  <si>
    <t>Gasto en la Mercaderia en proceeso</t>
  </si>
  <si>
    <t>año 1</t>
  </si>
  <si>
    <t>año 2 al 5</t>
  </si>
  <si>
    <t>Gasto materiales SE y MC</t>
  </si>
  <si>
    <t>vol produccion año 1</t>
  </si>
  <si>
    <t>stock producto elab</t>
  </si>
  <si>
    <t>Gasto energia SE y MC</t>
  </si>
  <si>
    <t>PT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</si>
  <si>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</si>
  <si>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</si>
  <si>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</si>
  <si>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</si>
  <si>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</si>
  <si>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</si>
  <si>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</si>
  <si>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fabricacion:</t>
  </si>
  <si>
    <t>- Amortizaciones</t>
  </si>
  <si>
    <t>- Personal indirecto</t>
  </si>
  <si>
    <t>- Materiales</t>
  </si>
  <si>
    <t>- Energia electrica</t>
  </si>
  <si>
    <t>- Combustibles</t>
  </si>
  <si>
    <t>- Tasas e imp</t>
  </si>
  <si>
    <t>- Seguros</t>
  </si>
  <si>
    <t>- Imprevistos</t>
  </si>
  <si>
    <t>total gastos fabricacion</t>
  </si>
  <si>
    <t>terciarizacion de logistica</t>
  </si>
  <si>
    <t>mensual</t>
  </si>
  <si>
    <t>ESTA PLANILLA PUEDE SER UTILIZADA SOLAMENTE PARA EL TRABAJO PRACTICO</t>
  </si>
  <si>
    <t>Inversión Inicial en Activo Fijo</t>
  </si>
  <si>
    <t>Gasto interno (en $)</t>
  </si>
  <si>
    <t>Gasto Externo (en $)</t>
  </si>
  <si>
    <t>Observaciones</t>
  </si>
  <si>
    <t>a) Bienes de Uso</t>
  </si>
  <si>
    <t>Terreno y sus mejoras</t>
  </si>
  <si>
    <t xml:space="preserve"> $                       -  </t>
  </si>
  <si>
    <t>Instalaciones industriales</t>
  </si>
  <si>
    <t>Gran parte de la instalación es provista por el parque industrial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</si>
  <si>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</si>
  <si>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</si>
  <si>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</si>
  <si>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</si>
  <si>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10% de máquinas operativas</t>
  </si>
  <si>
    <t>Transporte y montaje de la maquinaria</t>
  </si>
  <si>
    <t>15% de máquinas operativas</t>
  </si>
  <si>
    <t>Rodados y equipos auxiliares</t>
  </si>
  <si>
    <t>Muebles y útiles*</t>
  </si>
  <si>
    <t>Infraestructura en Redes y Telecomunicaciones</t>
  </si>
  <si>
    <t>1% del inmueble</t>
  </si>
  <si>
    <t>Infraestructura en predio propio</t>
  </si>
  <si>
    <t>Total Bienes de uso</t>
  </si>
  <si>
    <t>b) Gastos asimilables o cargos diferidos</t>
  </si>
  <si>
    <t>Investigaciones y estudios</t>
  </si>
  <si>
    <t>Gastos de puesta en marcha (AL AÑO 1)</t>
  </si>
  <si>
    <t>Exposición en feria industrial más registro de marca</t>
  </si>
  <si>
    <t>Infraestructura en predio ajeno</t>
  </si>
  <si>
    <t xml:space="preserve">
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</si>
  <si>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</si>
  <si>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</si>
  <si>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</si>
  <si>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</si>
  <si>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</si>
  <si>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</si>
  <si>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</si>
  <si>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</si>
  <si>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</si>
  <si>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</si>
  <si>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</si>
  <si>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</si>
  <si>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</si>
  <si>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</si>
  <si>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 xml:space="preserve"> $                  -  </t>
  </si>
  <si>
    <t xml:space="preserve"> $                          -  </t>
  </si>
  <si>
    <t>Subtotal</t>
  </si>
  <si>
    <t xml:space="preserve">Cargos Diferidos </t>
  </si>
  <si>
    <t>Totales, s/IVA</t>
  </si>
  <si>
    <t>COSTO TOTAL DE PRODUCCION</t>
  </si>
  <si>
    <t>Gastos en el Area de Producción</t>
  </si>
  <si>
    <t>Gastos de fabricación:</t>
  </si>
  <si>
    <t>Personal indirecto</t>
  </si>
  <si>
    <t>Materiales</t>
  </si>
  <si>
    <t>Combustibles</t>
  </si>
  <si>
    <t>Tratamiento de efluentes y subproductos</t>
  </si>
  <si>
    <t>*libre para insertar costos adicionales*</t>
  </si>
  <si>
    <t>Gastos Total de Producción</t>
  </si>
  <si>
    <t>% Gasto Constante</t>
  </si>
  <si>
    <t>% Gasto Variable</t>
  </si>
  <si>
    <t>ej 9, merc en proceso</t>
  </si>
  <si>
    <t>Gastos a activar</t>
  </si>
  <si>
    <t>Mercadería en Curso y Semielaborada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</si>
  <si>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</si>
  <si>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</si>
  <si>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</si>
  <si>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</si>
  <si>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</si>
  <si>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</si>
  <si>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</si>
  <si>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</si>
  <si>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</si>
  <si>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(-) Mercaderia en proceso al final</t>
  </si>
  <si>
    <t>(+) Mercaderia en proceso al principio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</si>
  <si>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</si>
  <si>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</si>
  <si>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</si>
  <si>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</si>
  <si>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</si>
  <si>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</si>
  <si>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Cámaras y Seguridad</t>
  </si>
  <si>
    <t>Costo total de Admistración</t>
  </si>
  <si>
    <t>Gastos en el Area de Comercialización</t>
  </si>
  <si>
    <t>Personal (incluye comisiones)</t>
  </si>
  <si>
    <t>3% de comisiones</t>
  </si>
  <si>
    <t>Promoción y Publicidad</t>
  </si>
  <si>
    <t>Logística y Distribución</t>
  </si>
  <si>
    <t>falta</t>
  </si>
  <si>
    <t>ELECTRICIDAD</t>
  </si>
  <si>
    <t>Costo total de Comercialización</t>
  </si>
  <si>
    <t>COSTO TOTAL Y RESULTADO A NIVEL ECONOMICO</t>
  </si>
  <si>
    <t>Venta anual, en Unidades Producto 1</t>
  </si>
  <si>
    <t>Precio de venta Producto 1</t>
  </si>
  <si>
    <t>Venta anual, en Unidades Producto 2</t>
  </si>
  <si>
    <t>Precio de venta Producto 2</t>
  </si>
  <si>
    <t>Venta anual, en Unidades Subproducto</t>
  </si>
  <si>
    <t>Precio de venta Subproducto</t>
  </si>
  <si>
    <t>*agregar adicionales si hace falta*</t>
  </si>
  <si>
    <t>VENTAS ANUALES</t>
  </si>
  <si>
    <t xml:space="preserve">Consumo de materia prima </t>
  </si>
  <si>
    <t>Gastos de fabricación</t>
  </si>
  <si>
    <t>Gastos de Producción</t>
  </si>
  <si>
    <t>Variación Mercadería en proceso</t>
  </si>
  <si>
    <t>COSTO DE PRODUCCION ANUAL</t>
  </si>
  <si>
    <t xml:space="preserve">Producción anual en Unidades (KG) 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</si>
  <si>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</si>
  <si>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</si>
  <si>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</si>
  <si>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</si>
  <si>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</si>
  <si>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</si>
  <si>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 (por kilo)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</si>
  <si>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</si>
  <si>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</si>
  <si>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</si>
  <si>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</si>
  <si>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</si>
  <si>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</si>
  <si>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</si>
  <si>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</si>
  <si>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</si>
  <si>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</si>
  <si>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</si>
  <si>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</si>
  <si>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</si>
  <si>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</si>
  <si>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</si>
  <si>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</si>
  <si>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</si>
  <si>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</si>
  <si>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% $</t>
  </si>
  <si>
    <t>Fijos</t>
  </si>
  <si>
    <t>Variables</t>
  </si>
  <si>
    <t>Totales</t>
  </si>
  <si>
    <t>=(('E-Costos'!C7-'E-Costos'!C33-'E-'E-Costos'!C7Costos'!H33)/'InfoInicial-CálcAux'!L14)*'InfoInicial-CálcAux'!L13</t>
  </si>
  <si>
    <t>Plazo crédito de vtas</t>
  </si>
  <si>
    <t>dias</t>
  </si>
  <si>
    <t>INVERSIONES EN ACTIVO DE TRABAJO</t>
  </si>
  <si>
    <r>
      <rPr>
        <b/>
        <sz val="10"/>
        <color theme="1"/>
        <rFont val="Arial"/>
        <family val="2"/>
      </rPr>
      <t xml:space="preserve">1. Activo de Trabajo: </t>
    </r>
    <r>
      <rPr>
        <sz val="10"/>
        <color theme="1"/>
        <rFont val="Arial"/>
        <family val="2"/>
      </rPr>
      <t>(valor contable)</t>
    </r>
  </si>
  <si>
    <t xml:space="preserve">   a) Disponibilidad Mínima en Caja y Bancos:</t>
  </si>
  <si>
    <t xml:space="preserve">   b) Crédito por Ventas: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</si>
  <si>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</si>
  <si>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</si>
  <si>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</si>
  <si>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</si>
  <si>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</si>
  <si>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</si>
  <si>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</si>
  <si>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</si>
  <si>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</si>
  <si>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</si>
  <si>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</si>
  <si>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</si>
  <si>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</si>
  <si>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</si>
  <si>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</si>
  <si>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</si>
  <si>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</si>
  <si>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</si>
  <si>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</si>
  <si>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</si>
  <si>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</si>
  <si>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</si>
  <si>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</si>
  <si>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 xml:space="preserve">  Disponibilidad Mínima en Caja y Bancos (Año 1 a 5)</t>
  </si>
  <si>
    <t>ventas anuales</t>
  </si>
  <si>
    <t xml:space="preserve">  Disponibilidad Mínima en Caja y Bancos (Año 0)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</si>
  <si>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</si>
  <si>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</si>
  <si>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</si>
  <si>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</si>
  <si>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</si>
  <si>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Varios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</si>
  <si>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</si>
  <si>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</si>
  <si>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</si>
  <si>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</si>
  <si>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</si>
  <si>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</si>
  <si>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</si>
  <si>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</si>
  <si>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</si>
  <si>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</si>
  <si>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</si>
  <si>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</si>
  <si>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</si>
  <si>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</si>
  <si>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</si>
  <si>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</si>
  <si>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</si>
  <si>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</si>
  <si>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</si>
  <si>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</si>
  <si>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</si>
  <si>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</si>
  <si>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</si>
  <si>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</si>
  <si>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</si>
  <si>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</si>
  <si>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</si>
  <si>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</si>
  <si>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</si>
  <si>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</si>
  <si>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</si>
  <si>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</si>
  <si>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</si>
  <si>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</si>
  <si>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</si>
  <si>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</si>
  <si>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</si>
  <si>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</si>
  <si>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</si>
  <si>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</si>
  <si>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</si>
  <si>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</si>
  <si>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</si>
  <si>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</si>
  <si>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</si>
  <si>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</si>
  <si>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</si>
  <si>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</si>
  <si>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</si>
  <si>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</si>
  <si>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</si>
  <si>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TIR</t>
  </si>
  <si>
    <t>Verificaciones</t>
  </si>
  <si>
    <t>Set A</t>
  </si>
  <si>
    <t>IVA</t>
  </si>
  <si>
    <t>AT</t>
  </si>
  <si>
    <t>BN Proyecto</t>
  </si>
  <si>
    <t>Ej 50.- Primera estructura financiera global</t>
  </si>
  <si>
    <t>La financiación de los proveedores de materias primas, es este caso es a</t>
  </si>
  <si>
    <t>días sobre el</t>
  </si>
  <si>
    <t>de la compra,</t>
  </si>
  <si>
    <t>con tasa de interés del</t>
  </si>
  <si>
    <t>Para la construccion del edificio, es posible tomar un crédito de un banco privado local del</t>
  </si>
  <si>
    <t>del monto total,</t>
  </si>
  <si>
    <t>con tasa del</t>
  </si>
  <si>
    <t>Para la maquinaria, es posible tomar un crédito de un banco privado</t>
  </si>
  <si>
    <t>Inv AT</t>
  </si>
  <si>
    <t>Stock MP</t>
  </si>
  <si>
    <t>Stock Materiales</t>
  </si>
  <si>
    <t>Crédito (50%)</t>
  </si>
  <si>
    <t xml:space="preserve">Intereses </t>
  </si>
  <si>
    <t>meses</t>
  </si>
  <si>
    <t xml:space="preserve">compra </t>
  </si>
  <si>
    <t>credito</t>
  </si>
  <si>
    <t>cancelacion</t>
  </si>
  <si>
    <t>intereses</t>
  </si>
  <si>
    <t>enero año1</t>
  </si>
  <si>
    <t xml:space="preserve">marzo año1 </t>
  </si>
  <si>
    <t>febrero año 1</t>
  </si>
  <si>
    <t>abril año 1</t>
  </si>
  <si>
    <t>marzo año 1</t>
  </si>
  <si>
    <t>mayo año 1</t>
  </si>
  <si>
    <t>junio año 1</t>
  </si>
  <si>
    <t>julio  año 1</t>
  </si>
  <si>
    <t>agosto año 1</t>
  </si>
  <si>
    <t>septiembre año 1</t>
  </si>
  <si>
    <t>octubre año 1</t>
  </si>
  <si>
    <t>noviembre año 1</t>
  </si>
  <si>
    <t>diciembre año 1</t>
  </si>
  <si>
    <t>Enero año 2</t>
  </si>
  <si>
    <t>Febrero año 2</t>
  </si>
  <si>
    <t xml:space="preserve">Equivale a un credito anual de </t>
  </si>
  <si>
    <t>Ej 51.- Servicio de cada Crédito</t>
  </si>
  <si>
    <t>a) para la construccion del edificio</t>
  </si>
  <si>
    <t>CARACTERISTICAS DEL CREDITO</t>
  </si>
  <si>
    <t>Institucion otorgante: Banco nacion</t>
  </si>
  <si>
    <t>Credito Banco nacion</t>
  </si>
  <si>
    <t>https://www.argentina.gob.ar/produccion/financiamiento-pyme</t>
  </si>
  <si>
    <t>Destino:</t>
  </si>
  <si>
    <t>Financiar el</t>
  </si>
  <si>
    <t>de la construccion</t>
  </si>
  <si>
    <t>Importe de la inversion:</t>
  </si>
  <si>
    <t>Monto del credito:</t>
  </si>
  <si>
    <t>Amortizacion:</t>
  </si>
  <si>
    <t>cuotas semestrales, iguales y consecutivas; primer pago a los 12 meses iniciada la actividad</t>
  </si>
  <si>
    <t>Intereses</t>
  </si>
  <si>
    <t>semestral vencido (sist alemán). Con periodo de gracia de 1 año</t>
  </si>
  <si>
    <t>Garantia:</t>
  </si>
  <si>
    <t>se constituirá garantía prendaria en primer grado sobre la maquinaria a adquirir y alguna otra, hasta un valor total igual al 140% de credito</t>
  </si>
  <si>
    <t>Comisiones y gastos bancarios</t>
  </si>
  <si>
    <t>de cred destino)</t>
  </si>
  <si>
    <t>Fecha</t>
  </si>
  <si>
    <t>Deuda</t>
  </si>
  <si>
    <t>Amortizacion semestral</t>
  </si>
  <si>
    <t>interés semestral</t>
  </si>
  <si>
    <t>Amortizacion Anual</t>
  </si>
  <si>
    <t>Interés Anual</t>
  </si>
  <si>
    <t>Gasto Bancario</t>
  </si>
  <si>
    <t>CUOTA</t>
  </si>
  <si>
    <t>Día</t>
  </si>
  <si>
    <t>mes</t>
  </si>
  <si>
    <t>año</t>
  </si>
  <si>
    <t>Cuotas sistema aleman</t>
  </si>
  <si>
    <t>Amortización</t>
  </si>
  <si>
    <t>Gastos preoperativos:</t>
  </si>
  <si>
    <t>b)  para la compra de la maquinaria importada</t>
  </si>
  <si>
    <t>https://www.bna.com.ar/Empresas/Grandes/CreditoMaquinasFabNacional</t>
  </si>
  <si>
    <t>del valor FOB</t>
  </si>
  <si>
    <t>cuotas semestrales, iguales y consecutivas</t>
  </si>
  <si>
    <t xml:space="preserve">semestral vencido (sist alemán). </t>
  </si>
  <si>
    <t>Los gastos preoperativo son:</t>
  </si>
  <si>
    <t>Ej 52.- Cuadro resumen de los servicios de créditos (Ver hoja 'F-Cred')</t>
  </si>
  <si>
    <t>Ej 53.- Gasto financiero</t>
  </si>
  <si>
    <t xml:space="preserve">Gastos preoperativos seran amortizados en </t>
  </si>
  <si>
    <t>años de cuotas iguales</t>
  </si>
  <si>
    <t>Alicuotas</t>
  </si>
  <si>
    <t>Años</t>
  </si>
  <si>
    <t>Amort int y gastos preoperativos</t>
  </si>
  <si>
    <t>Intereses créd renovables</t>
  </si>
  <si>
    <t>Intereses créd NO renovables</t>
  </si>
  <si>
    <t>Total Gs Financiero</t>
  </si>
  <si>
    <t>Totales:</t>
  </si>
  <si>
    <t>Ej 54.- Resultados proforma (Ver hoja 'F-CRes')</t>
  </si>
  <si>
    <t>Ej 55.- Incidencia del dimensionamiento financiero</t>
  </si>
  <si>
    <t>- Se incrementa la inversión inicial de Activo Fijo a través de los intereses y gastos bancarios preoperativos incluido el IVA:</t>
  </si>
  <si>
    <t>representa un incremento de :</t>
  </si>
  <si>
    <t>- Incremento de activo fijo por los intereses y gastos preoperativos.</t>
  </si>
  <si>
    <t>- Incremento de activo fijo por el IVA correspondiente a intereses y gastos preoperativos.</t>
  </si>
  <si>
    <t>- Incremento de la inversión en activo de trabajo por los créditos por ventas.</t>
  </si>
  <si>
    <t>- Posible déficit de explotación en el Año 1 por el gasto financiero.</t>
  </si>
  <si>
    <t>Ej 56.- Inversiones resultantes: calendario y financiación global (Ver hoja 'F-2 Estructura')</t>
  </si>
  <si>
    <t>Ej 57.- Punto de equilibrio Económico - Financiero (Ver hoja 'F-2 Estructura')</t>
  </si>
  <si>
    <t>Costos variables</t>
  </si>
  <si>
    <t>Costos constantes</t>
  </si>
  <si>
    <t>Gasto Financiero</t>
  </si>
  <si>
    <t>Punto de equilibrio</t>
  </si>
  <si>
    <t>Ej 58.- IVA pagado en el CTV, la cancelación del CF y el pago al Fisco por IVA (Ver hoja 'F-IVA')</t>
  </si>
  <si>
    <t>Ej 59.- Cuadro de Fuentes y Usos de Fondos (Ver hoja ' F-CFyU')</t>
  </si>
  <si>
    <t>Ej 60.- Análisis del Saldo Propio en el Cuadro de Fuentes y Usos - Año 1</t>
  </si>
  <si>
    <t>producc</t>
  </si>
  <si>
    <t>6x9</t>
  </si>
  <si>
    <t xml:space="preserve">   </t>
  </si>
  <si>
    <t>Alimentación del proceso</t>
  </si>
  <si>
    <t>toneladas</t>
  </si>
  <si>
    <t xml:space="preserve">mes </t>
  </si>
  <si>
    <t>ritmo inicial</t>
  </si>
  <si>
    <t>ritmo final</t>
  </si>
  <si>
    <t>produccion promedio</t>
  </si>
  <si>
    <t>produccion mesual</t>
  </si>
  <si>
    <t>produccion propuesta</t>
  </si>
  <si>
    <t xml:space="preserve">1) valor de produccion prom. </t>
  </si>
  <si>
    <t>Desperdicios recuperables en funcion de la producción</t>
  </si>
  <si>
    <t>Desperdicios no recuperables en función de la producción</t>
  </si>
  <si>
    <t>Plan de Producción</t>
  </si>
  <si>
    <t>●</t>
  </si>
  <si>
    <t>Incremento del volumen de producción durante la Puesta en Marcha:</t>
  </si>
  <si>
    <t xml:space="preserve">produccion en regimen </t>
  </si>
  <si>
    <t>Mes 1</t>
  </si>
  <si>
    <t>Punto 6</t>
  </si>
  <si>
    <t>Produccion año 1</t>
  </si>
  <si>
    <t>Mes 2</t>
  </si>
  <si>
    <t>Produccion año n</t>
  </si>
  <si>
    <t>Mes 3</t>
  </si>
  <si>
    <t>(se logra el estado de regimen)</t>
  </si>
  <si>
    <t>Punto 7</t>
  </si>
  <si>
    <t>Stock Promedio</t>
  </si>
  <si>
    <t>Evolución uniforme desde el Mes 4 del Año 1, con producción y ventas constantes.</t>
  </si>
  <si>
    <t xml:space="preserve">Trabajamos </t>
  </si>
  <si>
    <t>Ritmo de trabajo</t>
  </si>
  <si>
    <t>Stock promedio</t>
  </si>
  <si>
    <t>Primer año</t>
  </si>
  <si>
    <t>Punto 8</t>
  </si>
  <si>
    <t>Ventas año 1</t>
  </si>
  <si>
    <t>Ventas año n</t>
  </si>
  <si>
    <t>Semanas</t>
  </si>
  <si>
    <t>Punto 9</t>
  </si>
  <si>
    <t>Ciclos de elaboracion</t>
  </si>
  <si>
    <t>Dias Productivos</t>
  </si>
  <si>
    <t>Mantenimiento (cierre planta)</t>
  </si>
  <si>
    <t>Feriados en dia habiles</t>
  </si>
  <si>
    <t>consumo de mp año 1</t>
  </si>
  <si>
    <t>(No poseemos desperdicio no recuperable ya que todo se puede reprocesar en el extrusor)</t>
  </si>
  <si>
    <t xml:space="preserve">mercaderia en proceso= </t>
  </si>
  <si>
    <t>Alimentacion en ciclo de elaboracion</t>
  </si>
  <si>
    <t>del Consumo de Materia Prima en régimen</t>
  </si>
  <si>
    <t>consumo final de MP año 1</t>
  </si>
  <si>
    <t>Se realiza un Plan de entregas semanales de Producto Terminado</t>
  </si>
  <si>
    <t>Consumo final de MP año n</t>
  </si>
  <si>
    <t>No hay desperdicios</t>
  </si>
  <si>
    <t>Antes de iniciar el Plan de explotación, se comprará la materia prima necesaria para cubrir la puesta en marcha</t>
  </si>
  <si>
    <t>Punto 10</t>
  </si>
  <si>
    <t>stock Promedio MP</t>
  </si>
  <si>
    <t>Stock equivalente a mes de consumo</t>
  </si>
  <si>
    <t>Tn</t>
  </si>
  <si>
    <t>Unidad</t>
  </si>
  <si>
    <t>Año 2 al n</t>
  </si>
  <si>
    <t>Plan de compras bimensual</t>
  </si>
  <si>
    <t>t</t>
  </si>
  <si>
    <t>Vacaciones en marzo</t>
  </si>
  <si>
    <t>Stock Fin de mes(tn)</t>
  </si>
  <si>
    <t>Compras</t>
  </si>
  <si>
    <t>Enero</t>
  </si>
  <si>
    <t>Bolsas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</si>
  <si>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</si>
  <si>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</si>
  <si>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</si>
  <si>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</si>
  <si>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</si>
  <si>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</si>
  <si>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</si>
  <si>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</si>
  <si>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</si>
  <si>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</si>
  <si>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</si>
  <si>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c)</t>
  </si>
  <si>
    <t xml:space="preserve">Equivale a </t>
  </si>
  <si>
    <t>Meses de consumo</t>
  </si>
  <si>
    <t>PRIMERA ESTRUCTURA FINANCIERA</t>
  </si>
  <si>
    <t>Total Inversión</t>
  </si>
  <si>
    <t>CréditoS</t>
  </si>
  <si>
    <t>Capital Propio</t>
  </si>
  <si>
    <t>Equivalencia del credito de proveedores con un credito renovable</t>
  </si>
  <si>
    <t>monto</t>
  </si>
  <si>
    <t xml:space="preserve">Activo Fijo </t>
  </si>
  <si>
    <t>Monto comprado</t>
  </si>
  <si>
    <t>Credito</t>
  </si>
  <si>
    <t>Cancelacion</t>
  </si>
  <si>
    <t>Interes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</si>
  <si>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</si>
  <si>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</si>
  <si>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</si>
  <si>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</si>
  <si>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</si>
  <si>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</si>
  <si>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</si>
  <si>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</si>
  <si>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</si>
  <si>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</si>
  <si>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</si>
  <si>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</si>
  <si>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</si>
  <si>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01/07/-1</t>
  </si>
  <si>
    <t>31/12/-1</t>
  </si>
  <si>
    <t>gastos preoperativos:</t>
  </si>
  <si>
    <t>31/06/1</t>
  </si>
  <si>
    <t>31/06/2</t>
  </si>
  <si>
    <t>Equivalencia credito anual=</t>
  </si>
  <si>
    <t>Comision bancaria=</t>
  </si>
  <si>
    <t>2 %</t>
  </si>
  <si>
    <t>31/06/3</t>
  </si>
  <si>
    <t>31/06/4</t>
  </si>
  <si>
    <t>31/06/5</t>
  </si>
  <si>
    <t>31/06/6</t>
  </si>
  <si>
    <t>intereses y gastos bancarios preoperativos</t>
  </si>
  <si>
    <t>Amortizaciones int. y gastos preoperativos</t>
  </si>
  <si>
    <t>Interés Creditos no Renovables</t>
  </si>
  <si>
    <t>Total Gasto financiero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</si>
  <si>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</si>
  <si>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</si>
  <si>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</si>
  <si>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</si>
  <si>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</si>
  <si>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</si>
  <si>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</si>
  <si>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c140</t>
  </si>
  <si>
    <t>RESULTADO (a/Hon. e Imp.)</t>
  </si>
  <si>
    <t>Menos: Honorarios al Direct.</t>
  </si>
  <si>
    <t>Saldo ganancias acumulado</t>
  </si>
  <si>
    <t>Menos: Impuesto a la Ganancia</t>
  </si>
  <si>
    <t>RESULTADO (d/Hon. e Imp.)</t>
  </si>
  <si>
    <t>Amortizaciones int y gastos preoperativos</t>
  </si>
  <si>
    <t xml:space="preserve">Intereses creditos renovables </t>
  </si>
  <si>
    <t xml:space="preserve">Intereses creditos no  renovables </t>
  </si>
  <si>
    <t xml:space="preserve">Total Gasto Financiero </t>
  </si>
  <si>
    <t>impuesto a las ganancias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</si>
  <si>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</si>
  <si>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</si>
  <si>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</si>
  <si>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</si>
  <si>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</si>
  <si>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</si>
  <si>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</si>
  <si>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</si>
  <si>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</si>
  <si>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</si>
  <si>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</si>
  <si>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</si>
  <si>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</si>
  <si>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</si>
  <si>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</si>
  <si>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</si>
  <si>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</si>
  <si>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</si>
  <si>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</si>
  <si>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</si>
  <si>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</si>
  <si>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</si>
  <si>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</si>
  <si>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 xml:space="preserve"> Porcentaje </t>
  </si>
  <si>
    <t>Crédito renovable</t>
  </si>
  <si>
    <t>Crédito no renovable</t>
  </si>
  <si>
    <t>Capital propio</t>
  </si>
  <si>
    <t>Subtotal Iva Inversion</t>
  </si>
  <si>
    <t>Capital propio neto</t>
  </si>
  <si>
    <t>PUNTO DE EQUILIBRIO ECONOMICO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</si>
  <si>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</si>
  <si>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</si>
  <si>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</si>
  <si>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$                      -  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</si>
  <si>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</si>
  <si>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</si>
  <si>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</si>
  <si>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</si>
  <si>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</si>
  <si>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</si>
  <si>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</si>
  <si>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</si>
  <si>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</si>
  <si>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</si>
  <si>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</si>
  <si>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</si>
  <si>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</si>
  <si>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 $                   -  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</si>
  <si>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</si>
  <si>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</si>
  <si>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</si>
  <si>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</si>
  <si>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</si>
  <si>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</si>
  <si>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</si>
  <si>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</si>
  <si>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</si>
  <si>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</si>
  <si>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</si>
  <si>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</si>
  <si>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</si>
  <si>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</si>
  <si>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</si>
  <si>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</si>
  <si>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</si>
  <si>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Valor residual economico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</si>
  <si>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</si>
  <si>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</si>
  <si>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</si>
  <si>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</si>
  <si>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</si>
  <si>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</si>
  <si>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</si>
  <si>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</si>
  <si>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</si>
  <si>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</si>
  <si>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</si>
  <si>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</si>
  <si>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</si>
  <si>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</si>
  <si>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</si>
  <si>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</si>
  <si>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</si>
  <si>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</si>
  <si>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</si>
  <si>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</si>
  <si>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</si>
  <si>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</si>
  <si>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</si>
  <si>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</si>
  <si>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</si>
  <si>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</si>
  <si>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</si>
  <si>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</si>
  <si>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}.-</t>
  </si>
  <si>
    <t>Verificación</t>
  </si>
  <si>
    <t xml:space="preserve">diferencia </t>
  </si>
  <si>
    <t>Formulación del Proyecto a Nivel Financiero</t>
  </si>
  <si>
    <t>Activo de Trabajo</t>
  </si>
  <si>
    <t>Utilidad  Antes  HD e IG</t>
  </si>
  <si>
    <t>Intereses Pagados</t>
  </si>
  <si>
    <t>en años</t>
  </si>
  <si>
    <t>TIR modificada</t>
  </si>
  <si>
    <t>VAN(Ko)</t>
  </si>
  <si>
    <t>ko=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</si>
  <si>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</si>
  <si>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</si>
  <si>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</si>
  <si>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</si>
  <si>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</si>
  <si>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</si>
  <si>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</si>
  <si>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</si>
  <si>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</si>
  <si>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</si>
  <si>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</si>
  <si>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</si>
  <si>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</si>
  <si>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</si>
  <si>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Análisis de riesgos</t>
  </si>
  <si>
    <t xml:space="preserve">Para el análisis de riesgos nos enfocaremos en dos situaciones comparadas con la situación actual, una pesimista y otra optimista. </t>
  </si>
  <si>
    <t>VNA (kc; matriz con saldo anual positivo) + (valores negativos del saldo anual)</t>
  </si>
  <si>
    <t>Kc</t>
  </si>
  <si>
    <t>(Banco Nación)</t>
  </si>
  <si>
    <t>VNA (tasa de descuento; matriz que contiene el flujo de fondos futuros) + inversión inicial</t>
  </si>
  <si>
    <t>VAN (Original)</t>
  </si>
  <si>
    <t>F-Form'!G</t>
  </si>
  <si>
    <t>Análisis de Sensibilidad</t>
  </si>
  <si>
    <t>Se analiza la variabilidad de los indicadores de evaluación frente a variaciones razonables los siguientes factores.</t>
  </si>
  <si>
    <t>Factor 1: Precio de venta</t>
  </si>
  <si>
    <t>A continuación, se evalúa el impacto de los indicadores frente a variaciones de un 20% del precio de venta.</t>
  </si>
  <si>
    <t>Precio +20%</t>
  </si>
  <si>
    <t>Original</t>
  </si>
  <si>
    <t>Precio -20%</t>
  </si>
  <si>
    <t>VAN</t>
  </si>
  <si>
    <t xml:space="preserve"> 'InfoInicial-CálcAux'!B6</t>
  </si>
  <si>
    <t>PRI</t>
  </si>
  <si>
    <t>B-F</t>
  </si>
  <si>
    <t>Factor 2: Costo de la MP principal</t>
  </si>
  <si>
    <t xml:space="preserve">Se analiza una variabilidad del 10% en el costo de adquisición de la MP principal: la leche. Se obtienen las siguientes variaciones: </t>
  </si>
  <si>
    <t>MP +20%</t>
  </si>
  <si>
    <t>MP -20%</t>
  </si>
  <si>
    <t xml:space="preserve"> 'CA COSTOS'!K8</t>
  </si>
  <si>
    <t>El factor con más impacto es: XXXXXX</t>
  </si>
  <si>
    <t>Conclusión: A partir del analisis detallado, observamos que el proyecto, es mas sensible a un cambio en el valor de (precio o mp) que de (precio o mp)</t>
  </si>
  <si>
    <t>Análisis de Alternativas</t>
  </si>
  <si>
    <t>Se estudia la alternativa de alquilar el edificio y las instalaciones.</t>
  </si>
  <si>
    <t>PLANTA M2</t>
  </si>
  <si>
    <t>Original (Compra terreno)</t>
  </si>
  <si>
    <t>TASA DE CAMBIO</t>
  </si>
  <si>
    <t>$ por cada 1 U$S</t>
  </si>
  <si>
    <t>Alternativa (Alquilar terreno)</t>
  </si>
  <si>
    <t>PRECIO COMPRA TERRENO M2:</t>
  </si>
  <si>
    <t>USD</t>
  </si>
  <si>
    <t xml:space="preserve"> 'CA Inv AF y Am'!B5</t>
  </si>
  <si>
    <t>PRECIO COMPRA EDIFICIO Y OBRAS COMP M2:</t>
  </si>
  <si>
    <t xml:space="preserve"> 'CA Inv AF y Am'!B9</t>
  </si>
  <si>
    <t>PRECIO ALQUILER M2 EDIFICIO Y TERRENO</t>
  </si>
  <si>
    <t>PRECIO ALQUILER TERRENO M2</t>
  </si>
  <si>
    <r>
      <rPr>
        <sz val="11"/>
        <color rgb="FF000000"/>
        <rFont val="Calibri, Arial"/>
      </rPr>
      <t>Nota: El monto mensual de alquiler en Gral Pacheco es de $</t>
    </r>
    <r>
      <rPr>
        <sz val="11"/>
        <color rgb="FFFF0000"/>
        <rFont val="Calibri"/>
        <family val="2"/>
      </rPr>
      <t>XXXXXX</t>
    </r>
  </si>
  <si>
    <t>PRECIO ALQUILER EDIFICIO Y OBRAS C M2</t>
  </si>
  <si>
    <t xml:space="preserve">Conclusión: A partir del analisis de alternativas detallado, observamos que alquilar la nave industrial en lugar de comprarlo, </t>
  </si>
  <si>
    <t>Análisis de Escenarios</t>
  </si>
  <si>
    <t>Se analizan los efectos del siguiente escenario:</t>
  </si>
  <si>
    <t>Escenario: Cuarentena en el año 3</t>
  </si>
  <si>
    <t>Original Año 1</t>
  </si>
  <si>
    <t>Cambio Año 1</t>
  </si>
  <si>
    <t>Original Año 2-5</t>
  </si>
  <si>
    <t>Cambio Año 2-5</t>
  </si>
  <si>
    <t>Disminución de ventas 40%</t>
  </si>
  <si>
    <t xml:space="preserve"> 'Infoinicial CalAux'! 7</t>
  </si>
  <si>
    <t>Disminución de producción 40%</t>
  </si>
  <si>
    <t>Produccion</t>
  </si>
  <si>
    <t xml:space="preserve"> 'Infoinicial CalAux'! 5</t>
  </si>
  <si>
    <t>Disminución sueldos al 50%</t>
  </si>
  <si>
    <t>Sueldos</t>
  </si>
  <si>
    <t xml:space="preserve">  'CA COSTOS'!E40</t>
  </si>
  <si>
    <t>Duplicar plazo de créditos de ventas</t>
  </si>
  <si>
    <t xml:space="preserve"> 'E-InvAT'! J1</t>
  </si>
  <si>
    <t>Modificado</t>
  </si>
  <si>
    <t>Conclusión: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</si>
</sst>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[$$-2C0A]\ #,##0.00"/>
    <numFmt numFmtId="166" formatCode="0\ %"/>
    <numFmt numFmtId="167" formatCode="0.00\ %"/>
    <numFmt numFmtId="168" formatCode="_(\$* #,##0.00_);_(\$* \(#,##0.00\);_(\$* \-??_);_(@_)"/>
    <numFmt numFmtId="169" formatCode="0.0"/>
    <numFmt numFmtId="170" formatCode="_-* #,##0.00_-;\-* #,##0.00_-;_-* &quot;-&quot;??_-;_-@"/>
    <numFmt numFmtId="171" formatCode="_-&quot;$&quot;\ * #,##0.00_-;\-&quot;$&quot;\ * #,##0.00_-;_-&quot;$&quot;\ * &quot;-&quot;??_-;_-@"/>
    <numFmt numFmtId="172" formatCode="0.000"/>
    <numFmt numFmtId="173" formatCode="&quot;$&quot;#,##0"/>
    <numFmt numFmtId="174" formatCode="&quot;$&quot;#,##0.00"/>
    <numFmt numFmtId="175" formatCode="_-* #,##0.00\ _€_-;\-* #,##0.00\ _€_-;_-* &quot;-&quot;??\ _€_-;_-@"/>
    <numFmt numFmtId="176" formatCode="_(\$* #,##0.00_);_(\$* \(#,##0.00\);_(\$* \-??.0_);_(@_)"/>
    <numFmt numFmtId="177" formatCode="0.0%"/>
    <numFmt numFmtId="178" formatCode="0.0\ %"/>
    <numFmt numFmtId="179" formatCode="_(* #,##0.00_);_(* \(#,##0.00\);_(* \-??_);_(@_)"/>
    <numFmt numFmtId="180" formatCode="[$ $]#,##0.00"/>
    <numFmt numFmtId="181" formatCode="_-[$$-2C0A]\ * #,##0.00_-;\-[$$-2C0A]\ * #,##0.00_-;_-[$$-2C0A]\ * &quot;-&quot;??_-;_-@_-"/>
    <numFmt numFmtId="182" formatCode="&quot;$&quot;#,##0.00_);[Red]\(&quot;$&quot;#,##0.00\)"/>
    <numFmt numFmtId="183" formatCode="&quot;$&quot;\ #,##0.00"/>
    <numFmt numFmtId="184" formatCode="_-[$$-409]* #,##0.00_ ;_-[$$-409]* \-#,##0.00\ ;_-[$$-409]* &quot;-&quot;??_ ;_-@_ "/>
    <numFmt numFmtId="185" formatCode="[$$-340A]#,##0.00"/>
  </numFmts>
  <fonts count="98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9"/>
      <color rgb="FF1F497D"/>
      <name val="Arial"/>
      <family val="2"/>
    </font>
    <font>
      <b/>
      <i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8"/>
      <color theme="4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Inconsolata"/>
    </font>
    <font>
      <sz val="10"/>
      <color rgb="FF222222"/>
      <name val="Arial"/>
      <family val="2"/>
    </font>
    <font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F7981D"/>
      <name val="Inconsolata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222222"/>
      <name val="Sans-serif"/>
    </font>
    <font>
      <b/>
      <u/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, 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0"/>
      <name val="Calibri"/>
    </font>
    <font>
      <sz val="11"/>
      <color rgb="FF222222"/>
      <name val="Calibri"/>
    </font>
    <font>
      <u/>
      <sz val="10"/>
      <color theme="10"/>
      <name val="Arial"/>
      <scheme val="minor"/>
    </font>
    <font>
      <sz val="11"/>
      <color rgb="FF222222"/>
      <name val="Arial"/>
      <charset val="1"/>
    </font>
    <font>
      <u/>
      <sz val="9"/>
      <color theme="10"/>
      <name val="Arial"/>
      <scheme val="minor"/>
    </font>
    <font>
      <sz val="10"/>
      <name val="Times New Roman"/>
      <family val="1"/>
      <charset val="204"/>
    </font>
    <font>
      <sz val="10"/>
      <name val="Calibri"/>
    </font>
    <font>
      <u/>
      <sz val="10"/>
      <color rgb="FF000000"/>
      <name val="Arial"/>
      <scheme val="minor"/>
    </font>
    <font>
      <sz val="8"/>
      <color rgb="FF000000"/>
      <name val="Calibri"/>
    </font>
    <font>
      <sz val="10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Arial"/>
    </font>
    <font>
      <sz val="9"/>
      <color rgb="FF222222"/>
      <name val="Arial"/>
      <family val="2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scheme val="minor"/>
    </font>
    <font>
      <b/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b/>
      <sz val="10"/>
      <name val="Arial"/>
    </font>
    <font>
      <sz val="10"/>
      <name val="Arial"/>
    </font>
    <font>
      <b/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name val="Symbol"/>
      <family val="1"/>
      <charset val="2"/>
    </font>
    <font>
      <b/>
      <sz val="10"/>
      <color rgb="FFFFFFFF"/>
      <name val="Arial"/>
      <family val="2"/>
      <charset val="1"/>
    </font>
    <font>
      <sz val="10"/>
      <color rgb="FF000000"/>
      <name val="Arial"/>
      <scheme val="minor"/>
    </font>
    <font>
      <b/>
      <u/>
      <sz val="9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charset val="1"/>
    </font>
    <font>
      <u/>
      <sz val="10"/>
      <name val="Arial"/>
      <family val="2"/>
    </font>
    <font>
      <b/>
      <sz val="10"/>
      <color rgb="FFFFFFFF"/>
      <name val="Arial"/>
    </font>
    <font>
      <sz val="14"/>
      <color rgb="FF000000"/>
      <name val="Arial"/>
      <scheme val="minor"/>
    </font>
    <font>
      <b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CCC0D9"/>
        <bgColor rgb="FFCCC0D9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C0C0C0"/>
        <bgColor rgb="FFDDDDDD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420E"/>
        <bgColor rgb="FFED1C2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62A73B"/>
        <bgColor rgb="FF808080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</fills>
  <borders count="2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 style="thin">
        <color rgb="FF3C3C3C"/>
      </right>
      <top/>
      <bottom style="double">
        <color rgb="FF3C3C3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double">
        <color rgb="FF000000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3C3C3C"/>
      </left>
      <right/>
      <top style="double">
        <color rgb="FF3C3C3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double">
        <color rgb="FF3C3C3C"/>
      </right>
      <top/>
      <bottom/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/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3C3C3C"/>
      </right>
      <top style="thin">
        <color rgb="FF000000"/>
      </top>
      <bottom style="double">
        <color rgb="FF000000"/>
      </bottom>
      <diagonal/>
    </border>
    <border>
      <left style="thin">
        <color rgb="FF3C3C3C"/>
      </left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/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double">
        <color rgb="FF3C3C3C"/>
      </top>
      <bottom/>
      <diagonal/>
    </border>
    <border>
      <left/>
      <right style="double">
        <color rgb="FF3C3C3C"/>
      </right>
      <top style="double">
        <color rgb="FF3C3C3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3C3C3C"/>
      </bottom>
      <diagonal/>
    </border>
    <border>
      <left/>
      <right style="medium">
        <color rgb="FF000000"/>
      </right>
      <top style="medium">
        <color rgb="FF000000"/>
      </top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 style="medium">
        <color rgb="FF000000"/>
      </right>
      <top/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medium">
        <color rgb="FF000000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/>
      <right/>
      <top style="medium">
        <color rgb="FF000000"/>
      </top>
      <bottom style="hair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/>
      <bottom style="medium">
        <color rgb="FF000000"/>
      </bottom>
      <diagonal/>
    </border>
  </borders>
  <cellStyleXfs count="5">
    <xf numFmtId="0" fontId="0" fillId="0" borderId="0"/>
    <xf numFmtId="0" fontId="51" fillId="0" borderId="103"/>
    <xf numFmtId="0" fontId="52" fillId="0" borderId="103" applyNumberFormat="0" applyFill="0" applyBorder="0" applyAlignment="0" applyProtection="0"/>
    <xf numFmtId="0" fontId="55" fillId="0" borderId="0" applyNumberFormat="0" applyFill="0" applyBorder="0" applyAlignment="0" applyProtection="0"/>
    <xf numFmtId="9" fontId="85" fillId="0" borderId="0" applyFont="0" applyFill="0" applyBorder="0" applyAlignment="0" applyProtection="0"/>
  </cellStyleXfs>
  <cellXfs count="1073">
    <xf numFmtId="0" fontId="0" fillId="0" borderId="0" xfId="0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5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0" xfId="0" applyFont="1"/>
    <xf numFmtId="0" fontId="4" fillId="0" borderId="7" xfId="0" applyFont="1" applyBorder="1"/>
    <xf numFmtId="0" fontId="9" fillId="3" borderId="22" xfId="0" applyFont="1" applyFill="1" applyBorder="1"/>
    <xf numFmtId="0" fontId="4" fillId="0" borderId="24" xfId="0" applyFont="1" applyBorder="1" applyAlignment="1">
      <alignment horizontal="left"/>
    </xf>
    <xf numFmtId="0" fontId="10" fillId="0" borderId="0" xfId="0" applyFont="1"/>
    <xf numFmtId="2" fontId="3" fillId="0" borderId="0" xfId="0" applyNumberFormat="1" applyFont="1"/>
    <xf numFmtId="0" fontId="3" fillId="0" borderId="0" xfId="0" applyFont="1"/>
    <xf numFmtId="10" fontId="4" fillId="0" borderId="24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/>
    <xf numFmtId="0" fontId="1" fillId="0" borderId="26" xfId="0" applyFont="1" applyBorder="1"/>
    <xf numFmtId="0" fontId="1" fillId="0" borderId="0" xfId="0" applyFont="1" applyAlignment="1">
      <alignment horizontal="right"/>
    </xf>
    <xf numFmtId="166" fontId="1" fillId="5" borderId="26" xfId="0" applyNumberFormat="1" applyFont="1" applyFill="1" applyBorder="1"/>
    <xf numFmtId="0" fontId="4" fillId="0" borderId="0" xfId="0" applyFont="1" applyAlignment="1">
      <alignment horizontal="right"/>
    </xf>
    <xf numFmtId="0" fontId="1" fillId="5" borderId="26" xfId="0" applyFont="1" applyFill="1" applyBorder="1" applyAlignment="1">
      <alignment horizontal="center"/>
    </xf>
    <xf numFmtId="167" fontId="1" fillId="5" borderId="26" xfId="0" applyNumberFormat="1" applyFont="1" applyFill="1" applyBorder="1" applyAlignment="1">
      <alignment horizontal="center"/>
    </xf>
    <xf numFmtId="0" fontId="4" fillId="6" borderId="26" xfId="0" applyFont="1" applyFill="1" applyBorder="1"/>
    <xf numFmtId="0" fontId="16" fillId="0" borderId="0" xfId="0" applyFont="1"/>
    <xf numFmtId="0" fontId="1" fillId="0" borderId="0" xfId="0" applyFont="1"/>
    <xf numFmtId="10" fontId="4" fillId="6" borderId="41" xfId="0" applyNumberFormat="1" applyFont="1" applyFill="1" applyBorder="1"/>
    <xf numFmtId="9" fontId="3" fillId="0" borderId="0" xfId="0" applyNumberFormat="1" applyFont="1"/>
    <xf numFmtId="0" fontId="14" fillId="0" borderId="0" xfId="0" applyFont="1"/>
    <xf numFmtId="0" fontId="4" fillId="6" borderId="42" xfId="0" applyFont="1" applyFill="1" applyBorder="1"/>
    <xf numFmtId="2" fontId="5" fillId="0" borderId="0" xfId="0" applyNumberFormat="1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6" fillId="0" borderId="0" xfId="0" applyFont="1"/>
    <xf numFmtId="0" fontId="4" fillId="0" borderId="56" xfId="0" applyFont="1" applyBorder="1"/>
    <xf numFmtId="0" fontId="1" fillId="0" borderId="57" xfId="0" applyFont="1" applyBorder="1"/>
    <xf numFmtId="0" fontId="4" fillId="0" borderId="57" xfId="0" applyFont="1" applyBorder="1"/>
    <xf numFmtId="168" fontId="4" fillId="0" borderId="0" xfId="0" applyNumberFormat="1" applyFont="1"/>
    <xf numFmtId="0" fontId="4" fillId="0" borderId="57" xfId="0" applyFont="1" applyBorder="1" applyAlignment="1">
      <alignment horizontal="left"/>
    </xf>
    <xf numFmtId="0" fontId="1" fillId="0" borderId="53" xfId="0" applyFont="1" applyBorder="1"/>
    <xf numFmtId="0" fontId="1" fillId="0" borderId="56" xfId="0" applyFont="1" applyBorder="1"/>
    <xf numFmtId="170" fontId="4" fillId="0" borderId="0" xfId="0" applyNumberFormat="1" applyFont="1"/>
    <xf numFmtId="0" fontId="34" fillId="0" borderId="0" xfId="0" applyFont="1"/>
    <xf numFmtId="165" fontId="6" fillId="0" borderId="0" xfId="0" applyNumberFormat="1" applyFont="1"/>
    <xf numFmtId="0" fontId="35" fillId="0" borderId="0" xfId="0" applyFont="1"/>
    <xf numFmtId="169" fontId="3" fillId="0" borderId="0" xfId="0" applyNumberFormat="1" applyFont="1"/>
    <xf numFmtId="2" fontId="4" fillId="0" borderId="0" xfId="0" applyNumberFormat="1" applyFont="1"/>
    <xf numFmtId="0" fontId="38" fillId="0" borderId="0" xfId="0" applyFont="1"/>
    <xf numFmtId="172" fontId="5" fillId="0" borderId="0" xfId="0" applyNumberFormat="1" applyFont="1"/>
    <xf numFmtId="0" fontId="4" fillId="0" borderId="70" xfId="0" applyFont="1" applyBorder="1"/>
    <xf numFmtId="0" fontId="4" fillId="0" borderId="70" xfId="0" applyFont="1" applyBorder="1" applyAlignment="1">
      <alignment horizontal="right"/>
    </xf>
    <xf numFmtId="0" fontId="3" fillId="0" borderId="71" xfId="0" applyFont="1" applyBorder="1"/>
    <xf numFmtId="0" fontId="5" fillId="0" borderId="71" xfId="0" applyFont="1" applyBorder="1"/>
    <xf numFmtId="173" fontId="4" fillId="0" borderId="0" xfId="0" applyNumberFormat="1" applyFont="1"/>
    <xf numFmtId="1" fontId="3" fillId="0" borderId="9" xfId="0" applyNumberFormat="1" applyFont="1" applyBorder="1"/>
    <xf numFmtId="1" fontId="3" fillId="0" borderId="0" xfId="0" applyNumberFormat="1" applyFont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3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73" fontId="5" fillId="0" borderId="0" xfId="0" applyNumberFormat="1" applyFont="1" applyAlignment="1">
      <alignment horizontal="center"/>
    </xf>
    <xf numFmtId="0" fontId="4" fillId="0" borderId="46" xfId="0" applyFont="1" applyBorder="1"/>
    <xf numFmtId="4" fontId="5" fillId="0" borderId="0" xfId="0" applyNumberFormat="1" applyFont="1" applyAlignment="1">
      <alignment horizontal="center"/>
    </xf>
    <xf numFmtId="17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4" fillId="0" borderId="75" xfId="0" applyFont="1" applyBorder="1"/>
    <xf numFmtId="0" fontId="4" fillId="0" borderId="57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4" fillId="0" borderId="77" xfId="0" applyFont="1" applyBorder="1"/>
    <xf numFmtId="0" fontId="1" fillId="0" borderId="77" xfId="0" applyFont="1" applyBorder="1"/>
    <xf numFmtId="0" fontId="4" fillId="0" borderId="48" xfId="0" applyFont="1" applyBorder="1"/>
    <xf numFmtId="0" fontId="1" fillId="0" borderId="53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4" fillId="0" borderId="84" xfId="0" applyFont="1" applyBorder="1"/>
    <xf numFmtId="0" fontId="4" fillId="0" borderId="85" xfId="0" applyFont="1" applyBorder="1"/>
    <xf numFmtId="174" fontId="4" fillId="0" borderId="0" xfId="0" applyNumberFormat="1" applyFont="1"/>
    <xf numFmtId="0" fontId="9" fillId="0" borderId="85" xfId="0" applyFont="1" applyBorder="1"/>
    <xf numFmtId="0" fontId="1" fillId="0" borderId="85" xfId="0" applyFont="1" applyBorder="1"/>
    <xf numFmtId="0" fontId="4" fillId="0" borderId="85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0" borderId="87" xfId="0" applyFont="1" applyBorder="1"/>
    <xf numFmtId="0" fontId="1" fillId="0" borderId="82" xfId="0" applyFont="1" applyBorder="1"/>
    <xf numFmtId="0" fontId="28" fillId="0" borderId="0" xfId="0" applyFont="1"/>
    <xf numFmtId="0" fontId="43" fillId="0" borderId="0" xfId="0" applyFont="1"/>
    <xf numFmtId="0" fontId="1" fillId="11" borderId="9" xfId="0" applyFont="1" applyFill="1" applyBorder="1" applyAlignment="1">
      <alignment horizontal="center"/>
    </xf>
    <xf numFmtId="168" fontId="4" fillId="0" borderId="9" xfId="0" applyNumberFormat="1" applyFont="1" applyBorder="1"/>
    <xf numFmtId="0" fontId="4" fillId="12" borderId="9" xfId="0" applyFont="1" applyFill="1" applyBorder="1"/>
    <xf numFmtId="0" fontId="28" fillId="0" borderId="73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54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5" fillId="4" borderId="101" xfId="0" applyFont="1" applyFill="1" applyBorder="1"/>
    <xf numFmtId="0" fontId="45" fillId="0" borderId="0" xfId="0" applyFont="1"/>
    <xf numFmtId="0" fontId="44" fillId="0" borderId="0" xfId="0" applyFont="1"/>
    <xf numFmtId="0" fontId="44" fillId="12" borderId="9" xfId="0" applyFont="1" applyFill="1" applyBorder="1" applyAlignment="1">
      <alignment horizontal="center"/>
    </xf>
    <xf numFmtId="9" fontId="44" fillId="0" borderId="9" xfId="0" applyNumberFormat="1" applyFont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0" borderId="0" xfId="0" quotePrefix="1" applyFont="1"/>
    <xf numFmtId="0" fontId="46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 applyAlignment="1">
      <alignment horizontal="left"/>
    </xf>
    <xf numFmtId="0" fontId="47" fillId="0" borderId="0" xfId="0" applyFont="1"/>
    <xf numFmtId="0" fontId="47" fillId="0" borderId="15" xfId="0" applyFont="1" applyBorder="1"/>
    <xf numFmtId="0" fontId="47" fillId="12" borderId="9" xfId="0" applyFont="1" applyFill="1" applyBorder="1" applyAlignment="1">
      <alignment horizontal="center"/>
    </xf>
    <xf numFmtId="0" fontId="47" fillId="13" borderId="9" xfId="0" applyFont="1" applyFill="1" applyBorder="1"/>
    <xf numFmtId="0" fontId="44" fillId="0" borderId="9" xfId="0" applyFont="1" applyBorder="1"/>
    <xf numFmtId="166" fontId="44" fillId="7" borderId="9" xfId="0" applyNumberFormat="1" applyFont="1" applyFill="1" applyBorder="1" applyAlignment="1">
      <alignment horizontal="center"/>
    </xf>
    <xf numFmtId="0" fontId="44" fillId="13" borderId="9" xfId="0" applyFont="1" applyFill="1" applyBorder="1"/>
    <xf numFmtId="2" fontId="44" fillId="7" borderId="9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/>
    <xf numFmtId="0" fontId="44" fillId="0" borderId="15" xfId="0" applyFont="1" applyBorder="1"/>
    <xf numFmtId="0" fontId="47" fillId="1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7" fillId="12" borderId="9" xfId="0" applyFont="1" applyFill="1" applyBorder="1" applyAlignment="1">
      <alignment wrapText="1"/>
    </xf>
    <xf numFmtId="166" fontId="44" fillId="7" borderId="9" xfId="0" applyNumberFormat="1" applyFont="1" applyFill="1" applyBorder="1" applyAlignment="1">
      <alignment horizontal="center" vertical="center"/>
    </xf>
    <xf numFmtId="2" fontId="44" fillId="7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44" fillId="2" borderId="9" xfId="0" applyFont="1" applyFill="1" applyBorder="1"/>
    <xf numFmtId="180" fontId="4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13" borderId="9" xfId="0" applyFont="1" applyFill="1" applyBorder="1" applyAlignment="1">
      <alignment horizontal="center"/>
    </xf>
    <xf numFmtId="0" fontId="44" fillId="7" borderId="9" xfId="0" applyFont="1" applyFill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1" fillId="3" borderId="103" xfId="0" applyFont="1" applyFill="1" applyBorder="1"/>
    <xf numFmtId="10" fontId="4" fillId="0" borderId="69" xfId="0" applyNumberFormat="1" applyFont="1" applyBorder="1"/>
    <xf numFmtId="0" fontId="32" fillId="9" borderId="103" xfId="0" applyFont="1" applyFill="1" applyBorder="1"/>
    <xf numFmtId="0" fontId="40" fillId="9" borderId="103" xfId="0" applyFont="1" applyFill="1" applyBorder="1" applyAlignment="1">
      <alignment horizontal="left"/>
    </xf>
    <xf numFmtId="0" fontId="4" fillId="0" borderId="47" xfId="0" applyFont="1" applyBorder="1"/>
    <xf numFmtId="0" fontId="4" fillId="3" borderId="103" xfId="0" applyFont="1" applyFill="1" applyBorder="1"/>
    <xf numFmtId="0" fontId="37" fillId="9" borderId="103" xfId="0" applyFont="1" applyFill="1" applyBorder="1"/>
    <xf numFmtId="0" fontId="55" fillId="3" borderId="103" xfId="3" applyFill="1" applyBorder="1"/>
    <xf numFmtId="0" fontId="51" fillId="14" borderId="26" xfId="0" applyFont="1" applyFill="1" applyBorder="1"/>
    <xf numFmtId="0" fontId="51" fillId="14" borderId="42" xfId="0" applyFont="1" applyFill="1" applyBorder="1"/>
    <xf numFmtId="0" fontId="51" fillId="0" borderId="103" xfId="0" applyFont="1" applyBorder="1"/>
    <xf numFmtId="0" fontId="0" fillId="0" borderId="103" xfId="0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" fillId="0" borderId="103" xfId="0" applyFont="1" applyBorder="1"/>
    <xf numFmtId="0" fontId="5" fillId="0" borderId="103" xfId="0" applyFont="1" applyBorder="1"/>
    <xf numFmtId="0" fontId="30" fillId="8" borderId="67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6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3" fillId="15" borderId="0" xfId="0" applyFont="1" applyFill="1"/>
    <xf numFmtId="0" fontId="25" fillId="16" borderId="0" xfId="0" applyFont="1" applyFill="1"/>
    <xf numFmtId="0" fontId="0" fillId="16" borderId="0" xfId="0" applyFill="1"/>
    <xf numFmtId="0" fontId="5" fillId="15" borderId="0" xfId="0" applyFont="1" applyFill="1"/>
    <xf numFmtId="0" fontId="0" fillId="0" borderId="0" xfId="0" applyAlignment="1">
      <alignment wrapText="1"/>
    </xf>
    <xf numFmtId="0" fontId="3" fillId="15" borderId="103" xfId="0" applyFont="1" applyFill="1" applyBorder="1"/>
    <xf numFmtId="10" fontId="51" fillId="15" borderId="103" xfId="0" applyNumberFormat="1" applyFont="1" applyFill="1" applyBorder="1" applyAlignment="1">
      <alignment horizontal="left"/>
    </xf>
    <xf numFmtId="2" fontId="5" fillId="0" borderId="103" xfId="0" applyNumberFormat="1" applyFont="1" applyBorder="1"/>
    <xf numFmtId="0" fontId="4" fillId="0" borderId="103" xfId="0" applyFont="1" applyBorder="1"/>
    <xf numFmtId="182" fontId="27" fillId="0" borderId="103" xfId="0" applyNumberFormat="1" applyFont="1" applyBorder="1" applyAlignment="1">
      <alignment horizontal="left"/>
    </xf>
    <xf numFmtId="8" fontId="4" fillId="0" borderId="0" xfId="0" applyNumberFormat="1" applyFont="1"/>
    <xf numFmtId="165" fontId="3" fillId="15" borderId="0" xfId="0" applyNumberFormat="1" applyFont="1" applyFill="1"/>
    <xf numFmtId="0" fontId="67" fillId="0" borderId="114" xfId="0" applyFont="1" applyBorder="1" applyAlignment="1">
      <alignment readingOrder="1"/>
    </xf>
    <xf numFmtId="0" fontId="67" fillId="0" borderId="115" xfId="0" applyFont="1" applyBorder="1" applyAlignment="1">
      <alignment readingOrder="1"/>
    </xf>
    <xf numFmtId="0" fontId="66" fillId="0" borderId="116" xfId="0" applyFont="1" applyBorder="1" applyAlignment="1">
      <alignment wrapText="1" readingOrder="1"/>
    </xf>
    <xf numFmtId="0" fontId="4" fillId="19" borderId="101" xfId="0" applyFont="1" applyFill="1" applyBorder="1" applyAlignment="1">
      <alignment horizontal="center"/>
    </xf>
    <xf numFmtId="0" fontId="3" fillId="10" borderId="108" xfId="0" applyFont="1" applyFill="1" applyBorder="1" applyAlignment="1">
      <alignment horizontal="center" vertical="center"/>
    </xf>
    <xf numFmtId="0" fontId="3" fillId="10" borderId="106" xfId="0" applyFont="1" applyFill="1" applyBorder="1" applyAlignment="1">
      <alignment horizontal="center" vertical="center"/>
    </xf>
    <xf numFmtId="0" fontId="3" fillId="10" borderId="107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0" borderId="15" xfId="0" applyFont="1" applyBorder="1"/>
    <xf numFmtId="0" fontId="30" fillId="8" borderId="103" xfId="0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0" xfId="0" applyNumberFormat="1"/>
    <xf numFmtId="44" fontId="5" fillId="0" borderId="0" xfId="0" applyNumberFormat="1" applyFont="1"/>
    <xf numFmtId="10" fontId="0" fillId="0" borderId="0" xfId="0" applyNumberFormat="1"/>
    <xf numFmtId="183" fontId="0" fillId="0" borderId="0" xfId="0" applyNumberFormat="1"/>
    <xf numFmtId="0" fontId="0" fillId="15" borderId="0" xfId="0" applyFill="1"/>
    <xf numFmtId="175" fontId="3" fillId="18" borderId="0" xfId="0" applyNumberFormat="1" applyFont="1" applyFill="1"/>
    <xf numFmtId="171" fontId="3" fillId="18" borderId="0" xfId="0" applyNumberFormat="1" applyFont="1" applyFill="1"/>
    <xf numFmtId="175" fontId="3" fillId="18" borderId="103" xfId="0" applyNumberFormat="1" applyFont="1" applyFill="1" applyBorder="1"/>
    <xf numFmtId="0" fontId="27" fillId="20" borderId="103" xfId="0" applyFont="1" applyFill="1" applyBorder="1" applyAlignment="1">
      <alignment horizontal="center"/>
    </xf>
    <xf numFmtId="182" fontId="27" fillId="20" borderId="103" xfId="0" applyNumberFormat="1" applyFont="1" applyFill="1" applyBorder="1"/>
    <xf numFmtId="182" fontId="27" fillId="20" borderId="103" xfId="0" applyNumberFormat="1" applyFont="1" applyFill="1" applyBorder="1" applyAlignment="1">
      <alignment horizontal="left"/>
    </xf>
    <xf numFmtId="0" fontId="0" fillId="20" borderId="0" xfId="0" applyFill="1"/>
    <xf numFmtId="0" fontId="5" fillId="15" borderId="103" xfId="0" applyFont="1" applyFill="1" applyBorder="1"/>
    <xf numFmtId="0" fontId="0" fillId="0" borderId="0" xfId="0" applyAlignment="1">
      <alignment horizontal="center"/>
    </xf>
    <xf numFmtId="0" fontId="39" fillId="0" borderId="103" xfId="0" applyFont="1" applyBorder="1"/>
    <xf numFmtId="165" fontId="3" fillId="15" borderId="103" xfId="0" applyNumberFormat="1" applyFont="1" applyFill="1" applyBorder="1"/>
    <xf numFmtId="171" fontId="5" fillId="18" borderId="103" xfId="0" applyNumberFormat="1" applyFont="1" applyFill="1" applyBorder="1"/>
    <xf numFmtId="171" fontId="5" fillId="18" borderId="0" xfId="0" applyNumberFormat="1" applyFont="1" applyFill="1"/>
    <xf numFmtId="44" fontId="0" fillId="0" borderId="0" xfId="0" applyNumberFormat="1"/>
    <xf numFmtId="165" fontId="3" fillId="18" borderId="0" xfId="0" applyNumberFormat="1" applyFont="1" applyFill="1"/>
    <xf numFmtId="0" fontId="5" fillId="18" borderId="0" xfId="0" applyFont="1" applyFill="1"/>
    <xf numFmtId="4" fontId="0" fillId="0" borderId="0" xfId="0" applyNumberFormat="1"/>
    <xf numFmtId="4" fontId="0" fillId="0" borderId="0" xfId="0" applyNumberFormat="1" applyAlignment="1">
      <alignment horizontal="left" vertical="top"/>
    </xf>
    <xf numFmtId="4" fontId="5" fillId="0" borderId="0" xfId="0" applyNumberFormat="1" applyFont="1"/>
    <xf numFmtId="2" fontId="3" fillId="0" borderId="103" xfId="0" applyNumberFormat="1" applyFont="1" applyBorder="1"/>
    <xf numFmtId="4" fontId="0" fillId="0" borderId="103" xfId="0" applyNumberFormat="1" applyBorder="1"/>
    <xf numFmtId="4" fontId="0" fillId="0" borderId="103" xfId="0" applyNumberFormat="1" applyBorder="1" applyAlignment="1">
      <alignment horizontal="left" vertical="top"/>
    </xf>
    <xf numFmtId="0" fontId="55" fillId="0" borderId="0" xfId="3" applyAlignment="1">
      <alignment vertical="top" wrapText="1"/>
    </xf>
    <xf numFmtId="0" fontId="0" fillId="0" borderId="0" xfId="0" applyAlignment="1">
      <alignment horizontal="right" vertical="top"/>
    </xf>
    <xf numFmtId="4" fontId="30" fillId="18" borderId="103" xfId="0" applyNumberFormat="1" applyFont="1" applyFill="1" applyBorder="1" applyAlignment="1">
      <alignment horizontal="left" vertical="top"/>
    </xf>
    <xf numFmtId="9" fontId="0" fillId="0" borderId="0" xfId="0" applyNumberFormat="1"/>
    <xf numFmtId="0" fontId="6" fillId="0" borderId="103" xfId="0" applyFont="1" applyBorder="1"/>
    <xf numFmtId="0" fontId="4" fillId="15" borderId="0" xfId="0" applyFont="1" applyFill="1" applyAlignment="1">
      <alignment horizontal="right"/>
    </xf>
    <xf numFmtId="0" fontId="56" fillId="0" borderId="0" xfId="0" applyFont="1"/>
    <xf numFmtId="0" fontId="0" fillId="0" borderId="0" xfId="0" applyAlignment="1">
      <alignment vertical="top"/>
    </xf>
    <xf numFmtId="0" fontId="70" fillId="0" borderId="57" xfId="0" applyFont="1" applyBorder="1" applyAlignment="1">
      <alignment horizontal="right"/>
    </xf>
    <xf numFmtId="165" fontId="0" fillId="0" borderId="0" xfId="0" applyNumberFormat="1"/>
    <xf numFmtId="164" fontId="4" fillId="21" borderId="0" xfId="0" applyNumberFormat="1" applyFont="1" applyFill="1"/>
    <xf numFmtId="0" fontId="4" fillId="0" borderId="0" xfId="0" applyFont="1" applyAlignment="1">
      <alignment horizontal="left"/>
    </xf>
    <xf numFmtId="177" fontId="3" fillId="0" borderId="0" xfId="0" applyNumberFormat="1" applyFont="1"/>
    <xf numFmtId="0" fontId="1" fillId="0" borderId="103" xfId="0" applyFont="1" applyBorder="1"/>
    <xf numFmtId="0" fontId="4" fillId="0" borderId="120" xfId="0" applyFont="1" applyBorder="1"/>
    <xf numFmtId="0" fontId="27" fillId="0" borderId="0" xfId="0" applyFont="1"/>
    <xf numFmtId="164" fontId="4" fillId="0" borderId="0" xfId="0" applyNumberFormat="1" applyFont="1"/>
    <xf numFmtId="4" fontId="3" fillId="15" borderId="0" xfId="0" applyNumberFormat="1" applyFont="1" applyFill="1"/>
    <xf numFmtId="0" fontId="0" fillId="0" borderId="10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0" borderId="103" xfId="0" applyFont="1" applyFill="1" applyBorder="1"/>
    <xf numFmtId="4" fontId="4" fillId="0" borderId="0" xfId="0" applyNumberFormat="1" applyFont="1"/>
    <xf numFmtId="168" fontId="4" fillId="15" borderId="26" xfId="0" applyNumberFormat="1" applyFont="1" applyFill="1" applyBorder="1"/>
    <xf numFmtId="2" fontId="4" fillId="15" borderId="26" xfId="0" applyNumberFormat="1" applyFont="1" applyFill="1" applyBorder="1" applyAlignment="1">
      <alignment horizontal="right"/>
    </xf>
    <xf numFmtId="166" fontId="4" fillId="15" borderId="26" xfId="0" applyNumberFormat="1" applyFont="1" applyFill="1" applyBorder="1"/>
    <xf numFmtId="9" fontId="51" fillId="15" borderId="103" xfId="0" applyNumberFormat="1" applyFont="1" applyFill="1" applyBorder="1" applyAlignment="1">
      <alignment horizontal="left"/>
    </xf>
    <xf numFmtId="0" fontId="70" fillId="15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" fillId="15" borderId="10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8" fillId="0" borderId="73" xfId="0" applyFont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/>
    <xf numFmtId="0" fontId="1" fillId="22" borderId="8" xfId="0" applyFont="1" applyFill="1" applyBorder="1"/>
    <xf numFmtId="0" fontId="1" fillId="22" borderId="16" xfId="0" applyFont="1" applyFill="1" applyBorder="1"/>
    <xf numFmtId="0" fontId="1" fillId="22" borderId="23" xfId="0" applyFont="1" applyFill="1" applyBorder="1"/>
    <xf numFmtId="0" fontId="1" fillId="22" borderId="25" xfId="0" applyFont="1" applyFill="1" applyBorder="1"/>
    <xf numFmtId="0" fontId="1" fillId="22" borderId="1" xfId="0" applyFont="1" applyFill="1" applyBorder="1" applyAlignment="1">
      <alignment horizontal="left" vertical="top"/>
    </xf>
    <xf numFmtId="0" fontId="2" fillId="22" borderId="2" xfId="0" applyFont="1" applyFill="1" applyBorder="1"/>
    <xf numFmtId="0" fontId="2" fillId="22" borderId="3" xfId="0" applyFont="1" applyFill="1" applyBorder="1"/>
    <xf numFmtId="0" fontId="4" fillId="22" borderId="46" xfId="0" applyFont="1" applyFill="1" applyBorder="1"/>
    <xf numFmtId="0" fontId="3" fillId="22" borderId="8" xfId="0" applyFont="1" applyFill="1" applyBorder="1"/>
    <xf numFmtId="0" fontId="4" fillId="22" borderId="9" xfId="0" applyFont="1" applyFill="1" applyBorder="1"/>
    <xf numFmtId="0" fontId="4" fillId="22" borderId="10" xfId="0" applyFont="1" applyFill="1" applyBorder="1"/>
    <xf numFmtId="0" fontId="66" fillId="22" borderId="15" xfId="0" applyFont="1" applyFill="1" applyBorder="1" applyAlignment="1">
      <alignment readingOrder="1"/>
    </xf>
    <xf numFmtId="0" fontId="66" fillId="22" borderId="117" xfId="0" applyFont="1" applyFill="1" applyBorder="1" applyAlignment="1">
      <alignment readingOrder="1"/>
    </xf>
    <xf numFmtId="3" fontId="54" fillId="0" borderId="102" xfId="0" applyNumberFormat="1" applyFont="1" applyBorder="1" applyAlignment="1">
      <alignment wrapText="1"/>
    </xf>
    <xf numFmtId="4" fontId="54" fillId="0" borderId="102" xfId="0" applyNumberFormat="1" applyFont="1" applyBorder="1" applyAlignment="1">
      <alignment wrapText="1"/>
    </xf>
    <xf numFmtId="165" fontId="4" fillId="0" borderId="17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2" xfId="0" applyFont="1" applyBorder="1"/>
    <xf numFmtId="0" fontId="20" fillId="0" borderId="15" xfId="0" applyFont="1" applyBorder="1" applyAlignment="1">
      <alignment wrapText="1"/>
    </xf>
    <xf numFmtId="0" fontId="58" fillId="0" borderId="102" xfId="0" applyFont="1" applyBorder="1" applyAlignment="1">
      <alignment wrapText="1"/>
    </xf>
    <xf numFmtId="0" fontId="58" fillId="0" borderId="71" xfId="0" applyFont="1" applyBorder="1" applyAlignment="1">
      <alignment wrapText="1"/>
    </xf>
    <xf numFmtId="3" fontId="58" fillId="0" borderId="104" xfId="0" applyNumberFormat="1" applyFont="1" applyBorder="1" applyAlignment="1">
      <alignment wrapText="1"/>
    </xf>
    <xf numFmtId="0" fontId="3" fillId="0" borderId="10" xfId="0" applyFont="1" applyBorder="1"/>
    <xf numFmtId="0" fontId="20" fillId="0" borderId="15" xfId="0" applyFont="1" applyBorder="1" applyAlignment="1">
      <alignment horizontal="left" vertical="top" wrapText="1"/>
    </xf>
    <xf numFmtId="0" fontId="58" fillId="0" borderId="105" xfId="0" applyFont="1" applyBorder="1" applyAlignment="1">
      <alignment wrapText="1"/>
    </xf>
    <xf numFmtId="3" fontId="58" fillId="0" borderId="105" xfId="0" applyNumberFormat="1" applyFont="1" applyBorder="1" applyAlignment="1">
      <alignment wrapText="1"/>
    </xf>
    <xf numFmtId="0" fontId="21" fillId="0" borderId="15" xfId="0" applyFont="1" applyBorder="1" applyAlignment="1">
      <alignment horizontal="left" vertical="top" wrapText="1"/>
    </xf>
    <xf numFmtId="0" fontId="55" fillId="0" borderId="9" xfId="3" applyFill="1" applyBorder="1" applyAlignment="1">
      <alignment vertical="top" wrapText="1"/>
    </xf>
    <xf numFmtId="0" fontId="27" fillId="0" borderId="102" xfId="0" applyFont="1" applyBorder="1"/>
    <xf numFmtId="0" fontId="27" fillId="0" borderId="15" xfId="0" applyFont="1" applyBorder="1" applyAlignment="1">
      <alignment horizontal="center"/>
    </xf>
    <xf numFmtId="181" fontId="18" fillId="0" borderId="9" xfId="0" applyNumberFormat="1" applyFont="1" applyBorder="1" applyAlignment="1">
      <alignment horizontal="left"/>
    </xf>
    <xf numFmtId="0" fontId="53" fillId="0" borderId="9" xfId="2" applyFont="1" applyFill="1" applyBorder="1" applyAlignment="1">
      <alignment vertical="top" wrapText="1"/>
    </xf>
    <xf numFmtId="0" fontId="27" fillId="0" borderId="69" xfId="0" applyFont="1" applyBorder="1"/>
    <xf numFmtId="0" fontId="27" fillId="0" borderId="70" xfId="0" applyFont="1" applyBorder="1" applyAlignment="1">
      <alignment horizontal="center"/>
    </xf>
    <xf numFmtId="181" fontId="18" fillId="0" borderId="47" xfId="0" applyNumberFormat="1" applyFont="1" applyBorder="1" applyAlignment="1">
      <alignment horizontal="left"/>
    </xf>
    <xf numFmtId="0" fontId="52" fillId="0" borderId="9" xfId="2" applyFill="1" applyBorder="1" applyAlignment="1">
      <alignment wrapText="1"/>
    </xf>
    <xf numFmtId="0" fontId="27" fillId="0" borderId="15" xfId="0" applyFont="1" applyBorder="1" applyAlignment="1">
      <alignment horizontal="left"/>
    </xf>
    <xf numFmtId="182" fontId="27" fillId="0" borderId="102" xfId="0" applyNumberFormat="1" applyFont="1" applyBorder="1" applyAlignment="1">
      <alignment horizontal="center"/>
    </xf>
    <xf numFmtId="182" fontId="27" fillId="0" borderId="71" xfId="0" applyNumberFormat="1" applyFont="1" applyBorder="1" applyAlignment="1">
      <alignment horizontal="center"/>
    </xf>
    <xf numFmtId="182" fontId="27" fillId="0" borderId="15" xfId="0" applyNumberFormat="1" applyFont="1" applyBorder="1" applyAlignment="1">
      <alignment horizontal="left"/>
    </xf>
    <xf numFmtId="182" fontId="27" fillId="0" borderId="9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182" fontId="27" fillId="0" borderId="64" xfId="0" applyNumberFormat="1" applyFont="1" applyBorder="1" applyAlignment="1">
      <alignment horizontal="center"/>
    </xf>
    <xf numFmtId="182" fontId="27" fillId="0" borderId="3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2" xfId="0" applyFont="1" applyBorder="1" applyAlignment="1">
      <alignment horizontal="center"/>
    </xf>
    <xf numFmtId="182" fontId="27" fillId="0" borderId="102" xfId="0" applyNumberFormat="1" applyFont="1" applyBorder="1" applyAlignment="1">
      <alignment horizontal="left"/>
    </xf>
    <xf numFmtId="182" fontId="27" fillId="0" borderId="71" xfId="0" applyNumberFormat="1" applyFont="1" applyBorder="1" applyAlignment="1">
      <alignment horizontal="left"/>
    </xf>
    <xf numFmtId="0" fontId="6" fillId="0" borderId="9" xfId="0" applyFont="1" applyBorder="1"/>
    <xf numFmtId="0" fontId="3" fillId="0" borderId="46" xfId="0" applyFont="1" applyBorder="1"/>
    <xf numFmtId="0" fontId="22" fillId="0" borderId="9" xfId="0" applyFont="1" applyBorder="1" applyAlignment="1">
      <alignment horizontal="center" wrapText="1"/>
    </xf>
    <xf numFmtId="0" fontId="3" fillId="0" borderId="9" xfId="0" applyFont="1" applyBorder="1"/>
    <xf numFmtId="0" fontId="22" fillId="0" borderId="9" xfId="0" applyFont="1" applyBorder="1" applyAlignment="1">
      <alignment wrapText="1"/>
    </xf>
    <xf numFmtId="0" fontId="27" fillId="0" borderId="15" xfId="0" applyFont="1" applyBorder="1"/>
    <xf numFmtId="8" fontId="27" fillId="0" borderId="102" xfId="0" applyNumberFormat="1" applyFont="1" applyBorder="1" applyAlignment="1">
      <alignment horizontal="left" vertical="top"/>
    </xf>
    <xf numFmtId="0" fontId="60" fillId="0" borderId="102" xfId="3" applyFont="1" applyFill="1" applyBorder="1" applyAlignment="1">
      <alignment vertical="top" wrapText="1"/>
    </xf>
    <xf numFmtId="0" fontId="61" fillId="0" borderId="102" xfId="0" applyFont="1" applyBorder="1" applyAlignment="1">
      <alignment vertical="top" wrapText="1"/>
    </xf>
    <xf numFmtId="0" fontId="62" fillId="0" borderId="102" xfId="0" applyFont="1" applyBorder="1" applyAlignment="1">
      <alignment vertical="top" wrapText="1"/>
    </xf>
    <xf numFmtId="0" fontId="27" fillId="0" borderId="15" xfId="0" applyFont="1" applyBorder="1" applyAlignment="1">
      <alignment horizontal="left" vertical="top"/>
    </xf>
    <xf numFmtId="0" fontId="59" fillId="0" borderId="103" xfId="0" applyFont="1" applyBorder="1"/>
    <xf numFmtId="0" fontId="19" fillId="22" borderId="15" xfId="0" applyFont="1" applyFill="1" applyBorder="1" applyAlignment="1">
      <alignment horizontal="center"/>
    </xf>
    <xf numFmtId="0" fontId="1" fillId="22" borderId="64" xfId="0" applyFont="1" applyFill="1" applyBorder="1" applyAlignment="1">
      <alignment horizontal="center"/>
    </xf>
    <xf numFmtId="0" fontId="19" fillId="22" borderId="2" xfId="0" applyFont="1" applyFill="1" applyBorder="1" applyAlignment="1">
      <alignment horizontal="center"/>
    </xf>
    <xf numFmtId="0" fontId="19" fillId="22" borderId="64" xfId="0" applyFont="1" applyFill="1" applyBorder="1" applyAlignment="1">
      <alignment horizontal="center"/>
    </xf>
    <xf numFmtId="0" fontId="1" fillId="22" borderId="65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/>
    </xf>
    <xf numFmtId="0" fontId="30" fillId="0" borderId="119" xfId="0" applyFont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30" fillId="0" borderId="109" xfId="0" applyFont="1" applyBorder="1" applyAlignment="1">
      <alignment wrapText="1"/>
    </xf>
    <xf numFmtId="3" fontId="30" fillId="0" borderId="109" xfId="0" applyNumberFormat="1" applyFont="1" applyBorder="1" applyAlignment="1">
      <alignment horizontal="left" wrapText="1"/>
    </xf>
    <xf numFmtId="183" fontId="27" fillId="0" borderId="67" xfId="0" applyNumberFormat="1" applyFont="1" applyBorder="1" applyAlignment="1">
      <alignment wrapText="1"/>
    </xf>
    <xf numFmtId="183" fontId="27" fillId="0" borderId="18" xfId="0" applyNumberFormat="1" applyFont="1" applyBorder="1" applyAlignment="1">
      <alignment horizontal="left" wrapText="1"/>
    </xf>
    <xf numFmtId="0" fontId="57" fillId="0" borderId="66" xfId="3" applyFont="1" applyFill="1" applyBorder="1" applyAlignment="1">
      <alignment horizontal="left" vertical="top" wrapText="1"/>
    </xf>
    <xf numFmtId="0" fontId="56" fillId="0" borderId="43" xfId="0" applyFont="1" applyBorder="1" applyAlignment="1">
      <alignment horizontal="left" wrapText="1"/>
    </xf>
    <xf numFmtId="0" fontId="56" fillId="0" borderId="45" xfId="0" applyFont="1" applyBorder="1" applyAlignment="1">
      <alignment horizontal="left" wrapText="1"/>
    </xf>
    <xf numFmtId="0" fontId="30" fillId="0" borderId="63" xfId="0" applyFont="1" applyBorder="1" applyAlignment="1">
      <alignment wrapText="1"/>
    </xf>
    <xf numFmtId="0" fontId="30" fillId="0" borderId="63" xfId="0" applyFont="1" applyBorder="1" applyAlignment="1">
      <alignment horizontal="left" wrapText="1"/>
    </xf>
    <xf numFmtId="183" fontId="27" fillId="0" borderId="43" xfId="0" applyNumberFormat="1" applyFont="1" applyBorder="1" applyAlignment="1">
      <alignment horizontal="left" wrapText="1"/>
    </xf>
    <xf numFmtId="0" fontId="57" fillId="0" borderId="65" xfId="3" applyFont="1" applyFill="1" applyBorder="1" applyAlignment="1">
      <alignment horizontal="left" vertical="top" wrapText="1"/>
    </xf>
    <xf numFmtId="3" fontId="30" fillId="0" borderId="63" xfId="0" applyNumberFormat="1" applyFont="1" applyBorder="1" applyAlignment="1">
      <alignment horizontal="left" wrapText="1"/>
    </xf>
    <xf numFmtId="183" fontId="27" fillId="0" borderId="1" xfId="0" applyNumberFormat="1" applyFont="1" applyBorder="1" applyAlignment="1">
      <alignment wrapText="1"/>
    </xf>
    <xf numFmtId="0" fontId="30" fillId="0" borderId="62" xfId="0" applyFont="1" applyBorder="1" applyAlignment="1">
      <alignment horizontal="center" wrapText="1"/>
    </xf>
    <xf numFmtId="0" fontId="56" fillId="0" borderId="18" xfId="0" applyFont="1" applyBorder="1" applyAlignment="1">
      <alignment horizontal="left" wrapText="1"/>
    </xf>
    <xf numFmtId="0" fontId="56" fillId="0" borderId="19" xfId="0" applyFont="1" applyBorder="1" applyAlignment="1">
      <alignment horizontal="left" wrapText="1"/>
    </xf>
    <xf numFmtId="183" fontId="27" fillId="0" borderId="1" xfId="0" applyNumberFormat="1" applyFont="1" applyBorder="1" applyAlignment="1">
      <alignment horizontal="left" wrapText="1"/>
    </xf>
    <xf numFmtId="0" fontId="68" fillId="0" borderId="64" xfId="0" applyFont="1" applyBorder="1" applyAlignment="1">
      <alignment horizontal="center"/>
    </xf>
    <xf numFmtId="0" fontId="56" fillId="0" borderId="2" xfId="0" applyFont="1" applyBorder="1" applyAlignment="1">
      <alignment horizontal="left" wrapText="1"/>
    </xf>
    <xf numFmtId="0" fontId="56" fillId="0" borderId="65" xfId="0" applyFont="1" applyBorder="1" applyAlignment="1">
      <alignment horizontal="center" wrapText="1"/>
    </xf>
    <xf numFmtId="0" fontId="30" fillId="0" borderId="118" xfId="0" applyFont="1" applyBorder="1" applyAlignment="1">
      <alignment wrapText="1"/>
    </xf>
    <xf numFmtId="0" fontId="30" fillId="0" borderId="118" xfId="0" applyFont="1" applyBorder="1" applyAlignment="1">
      <alignment horizontal="left" wrapText="1"/>
    </xf>
    <xf numFmtId="183" fontId="27" fillId="0" borderId="65" xfId="0" applyNumberFormat="1" applyFont="1" applyBorder="1" applyAlignment="1">
      <alignment wrapText="1"/>
    </xf>
    <xf numFmtId="183" fontId="27" fillId="0" borderId="22" xfId="0" applyNumberFormat="1" applyFont="1" applyBorder="1" applyAlignment="1">
      <alignment horizontal="left" wrapText="1"/>
    </xf>
    <xf numFmtId="0" fontId="57" fillId="0" borderId="67" xfId="3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indent="8"/>
    </xf>
    <xf numFmtId="0" fontId="0" fillId="0" borderId="3" xfId="0" applyBorder="1"/>
    <xf numFmtId="0" fontId="68" fillId="0" borderId="2" xfId="0" applyFont="1" applyBorder="1" applyAlignment="1">
      <alignment horizontal="center"/>
    </xf>
    <xf numFmtId="183" fontId="3" fillId="0" borderId="2" xfId="0" applyNumberFormat="1" applyFont="1" applyBorder="1"/>
    <xf numFmtId="183" fontId="27" fillId="0" borderId="64" xfId="0" applyNumberFormat="1" applyFont="1" applyBorder="1" applyAlignment="1">
      <alignment horizontal="left" wrapText="1"/>
    </xf>
    <xf numFmtId="171" fontId="3" fillId="0" borderId="65" xfId="0" applyNumberFormat="1" applyFont="1" applyBorder="1"/>
    <xf numFmtId="171" fontId="3" fillId="0" borderId="44" xfId="0" applyNumberFormat="1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171" fontId="3" fillId="0" borderId="103" xfId="0" applyNumberFormat="1" applyFont="1" applyBorder="1"/>
    <xf numFmtId="171" fontId="3" fillId="0" borderId="65" xfId="0" applyNumberFormat="1" applyFont="1" applyBorder="1" applyAlignment="1">
      <alignment horizontal="center" vertical="center"/>
    </xf>
    <xf numFmtId="171" fontId="3" fillId="0" borderId="43" xfId="0" applyNumberFormat="1" applyFont="1" applyBorder="1"/>
    <xf numFmtId="0" fontId="55" fillId="0" borderId="66" xfId="3" applyFill="1" applyBorder="1" applyAlignment="1">
      <alignment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171" fontId="3" fillId="0" borderId="66" xfId="0" applyNumberFormat="1" applyFont="1" applyBorder="1"/>
    <xf numFmtId="0" fontId="3" fillId="0" borderId="66" xfId="0" applyFont="1" applyBorder="1" applyAlignment="1">
      <alignment horizontal="center" vertical="center"/>
    </xf>
    <xf numFmtId="171" fontId="3" fillId="0" borderId="22" xfId="0" applyNumberFormat="1" applyFont="1" applyBorder="1"/>
    <xf numFmtId="0" fontId="3" fillId="0" borderId="67" xfId="0" applyFont="1" applyBorder="1" applyAlignment="1">
      <alignment horizontal="center" vertical="center"/>
    </xf>
    <xf numFmtId="0" fontId="55" fillId="0" borderId="66" xfId="3" applyFill="1" applyBorder="1" applyAlignment="1">
      <alignment vertical="top" wrapText="1"/>
    </xf>
    <xf numFmtId="171" fontId="3" fillId="0" borderId="44" xfId="0" applyNumberFormat="1" applyFont="1" applyBorder="1" applyAlignment="1">
      <alignment horizontal="center" vertical="center"/>
    </xf>
    <xf numFmtId="0" fontId="55" fillId="0" borderId="7" xfId="3" applyFill="1" applyBorder="1" applyAlignment="1">
      <alignment horizontal="center" vertical="center" wrapText="1"/>
    </xf>
    <xf numFmtId="0" fontId="55" fillId="0" borderId="7" xfId="3" applyFill="1" applyBorder="1" applyAlignment="1">
      <alignment vertical="top" wrapText="1"/>
    </xf>
    <xf numFmtId="0" fontId="55" fillId="0" borderId="7" xfId="3" applyFill="1" applyBorder="1" applyAlignment="1">
      <alignment horizontal="left" vertical="top" wrapText="1"/>
    </xf>
    <xf numFmtId="171" fontId="3" fillId="0" borderId="67" xfId="0" applyNumberFormat="1" applyFont="1" applyBorder="1"/>
    <xf numFmtId="171" fontId="3" fillId="0" borderId="19" xfId="0" applyNumberFormat="1" applyFont="1" applyBorder="1"/>
    <xf numFmtId="0" fontId="0" fillId="0" borderId="20" xfId="0" applyBorder="1"/>
    <xf numFmtId="171" fontId="0" fillId="0" borderId="67" xfId="0" applyNumberFormat="1" applyBorder="1"/>
    <xf numFmtId="4" fontId="33" fillId="0" borderId="0" xfId="0" applyNumberFormat="1" applyFont="1"/>
    <xf numFmtId="165" fontId="3" fillId="0" borderId="17" xfId="0" applyNumberFormat="1" applyFont="1" applyBorder="1"/>
    <xf numFmtId="165" fontId="3" fillId="0" borderId="21" xfId="0" applyNumberFormat="1" applyFont="1" applyBorder="1"/>
    <xf numFmtId="4" fontId="4" fillId="0" borderId="103" xfId="0" applyNumberFormat="1" applyFont="1" applyBorder="1"/>
    <xf numFmtId="10" fontId="5" fillId="0" borderId="0" xfId="0" applyNumberFormat="1" applyFont="1"/>
    <xf numFmtId="0" fontId="5" fillId="0" borderId="9" xfId="0" applyFont="1" applyBorder="1"/>
    <xf numFmtId="0" fontId="0" fillId="0" borderId="9" xfId="0" applyBorder="1" applyAlignment="1">
      <alignment horizontal="center"/>
    </xf>
    <xf numFmtId="18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8" fontId="5" fillId="0" borderId="0" xfId="0" applyNumberFormat="1" applyFont="1"/>
    <xf numFmtId="172" fontId="0" fillId="0" borderId="0" xfId="0" applyNumberFormat="1"/>
    <xf numFmtId="44" fontId="5" fillId="0" borderId="71" xfId="0" applyNumberFormat="1" applyFont="1" applyBorder="1"/>
    <xf numFmtId="0" fontId="4" fillId="0" borderId="46" xfId="0" applyFont="1" applyBorder="1" applyAlignment="1">
      <alignment horizontal="right"/>
    </xf>
    <xf numFmtId="0" fontId="5" fillId="0" borderId="72" xfId="0" applyFont="1" applyBorder="1"/>
    <xf numFmtId="172" fontId="5" fillId="0" borderId="71" xfId="0" applyNumberFormat="1" applyFont="1" applyBorder="1"/>
    <xf numFmtId="0" fontId="26" fillId="0" borderId="9" xfId="0" applyFont="1" applyBorder="1"/>
    <xf numFmtId="9" fontId="27" fillId="0" borderId="69" xfId="0" applyNumberFormat="1" applyFont="1" applyBorder="1" applyAlignment="1">
      <alignment horizontal="right"/>
    </xf>
    <xf numFmtId="169" fontId="0" fillId="0" borderId="0" xfId="0" applyNumberFormat="1"/>
    <xf numFmtId="0" fontId="26" fillId="0" borderId="15" xfId="0" applyFont="1" applyBorder="1"/>
    <xf numFmtId="9" fontId="27" fillId="0" borderId="102" xfId="0" applyNumberFormat="1" applyFont="1" applyBorder="1" applyAlignment="1">
      <alignment horizontal="right"/>
    </xf>
    <xf numFmtId="0" fontId="69" fillId="0" borderId="43" xfId="0" applyFont="1" applyBorder="1" applyAlignment="1">
      <alignment wrapText="1"/>
    </xf>
    <xf numFmtId="4" fontId="30" fillId="0" borderId="44" xfId="0" applyNumberFormat="1" applyFont="1" applyBorder="1" applyAlignment="1">
      <alignment horizontal="left" vertical="top"/>
    </xf>
    <xf numFmtId="0" fontId="0" fillId="0" borderId="65" xfId="0" applyBorder="1" applyAlignment="1">
      <alignment horizontal="right" vertical="center"/>
    </xf>
    <xf numFmtId="0" fontId="69" fillId="0" borderId="22" xfId="0" applyFont="1" applyBorder="1" applyAlignment="1">
      <alignment wrapText="1"/>
    </xf>
    <xf numFmtId="4" fontId="30" fillId="0" borderId="103" xfId="0" applyNumberFormat="1" applyFont="1" applyBorder="1" applyAlignment="1">
      <alignment horizontal="left" vertical="top"/>
    </xf>
    <xf numFmtId="4" fontId="0" fillId="0" borderId="66" xfId="0" applyNumberFormat="1" applyBorder="1" applyAlignment="1">
      <alignment horizontal="right" vertical="center"/>
    </xf>
    <xf numFmtId="0" fontId="69" fillId="0" borderId="22" xfId="0" applyFont="1" applyBorder="1" applyAlignment="1">
      <alignment vertical="top" wrapText="1"/>
    </xf>
    <xf numFmtId="4" fontId="0" fillId="0" borderId="7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left" vertical="top"/>
    </xf>
    <xf numFmtId="0" fontId="58" fillId="0" borderId="9" xfId="0" applyFont="1" applyBorder="1" applyAlignment="1">
      <alignment wrapText="1"/>
    </xf>
    <xf numFmtId="0" fontId="58" fillId="0" borderId="72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0" fillId="22" borderId="0" xfId="0" applyFill="1"/>
    <xf numFmtId="0" fontId="5" fillId="22" borderId="23" xfId="0" applyFont="1" applyFill="1" applyBorder="1"/>
    <xf numFmtId="0" fontId="3" fillId="22" borderId="68" xfId="0" applyFont="1" applyFill="1" applyBorder="1"/>
    <xf numFmtId="165" fontId="3" fillId="22" borderId="68" xfId="0" applyNumberFormat="1" applyFont="1" applyFill="1" applyBorder="1"/>
    <xf numFmtId="0" fontId="3" fillId="22" borderId="24" xfId="0" applyFont="1" applyFill="1" applyBorder="1"/>
    <xf numFmtId="0" fontId="5" fillId="22" borderId="16" xfId="0" applyFont="1" applyFill="1" applyBorder="1"/>
    <xf numFmtId="0" fontId="1" fillId="22" borderId="103" xfId="0" applyFont="1" applyFill="1" applyBorder="1" applyAlignment="1">
      <alignment horizontal="left" vertical="top"/>
    </xf>
    <xf numFmtId="0" fontId="1" fillId="22" borderId="103" xfId="0" applyFont="1" applyFill="1" applyBorder="1" applyAlignment="1">
      <alignment horizontal="center"/>
    </xf>
    <xf numFmtId="0" fontId="39" fillId="22" borderId="103" xfId="0" applyFont="1" applyFill="1" applyBorder="1" applyAlignment="1">
      <alignment horizontal="center"/>
    </xf>
    <xf numFmtId="0" fontId="36" fillId="22" borderId="47" xfId="0" applyFont="1" applyFill="1" applyBorder="1" applyAlignment="1">
      <alignment horizontal="center"/>
    </xf>
    <xf numFmtId="0" fontId="36" fillId="22" borderId="110" xfId="0" applyFont="1" applyFill="1" applyBorder="1" applyAlignment="1">
      <alignment horizontal="center"/>
    </xf>
    <xf numFmtId="0" fontId="36" fillId="22" borderId="110" xfId="0" applyFont="1" applyFill="1" applyBorder="1" applyAlignment="1">
      <alignment horizontal="left"/>
    </xf>
    <xf numFmtId="0" fontId="1" fillId="22" borderId="8" xfId="0" applyFont="1" applyFill="1" applyBorder="1" applyAlignment="1">
      <alignment horizontal="left"/>
    </xf>
    <xf numFmtId="0" fontId="6" fillId="22" borderId="8" xfId="0" applyFont="1" applyFill="1" applyBorder="1"/>
    <xf numFmtId="0" fontId="6" fillId="22" borderId="16" xfId="0" applyFont="1" applyFill="1" applyBorder="1"/>
    <xf numFmtId="0" fontId="6" fillId="22" borderId="103" xfId="0" applyFont="1" applyFill="1" applyBorder="1"/>
    <xf numFmtId="4" fontId="30" fillId="18" borderId="18" xfId="0" applyNumberFormat="1" applyFont="1" applyFill="1" applyBorder="1" applyAlignment="1">
      <alignment horizontal="left" vertical="top"/>
    </xf>
    <xf numFmtId="4" fontId="30" fillId="18" borderId="64" xfId="0" applyNumberFormat="1" applyFont="1" applyFill="1" applyBorder="1" applyAlignment="1">
      <alignment horizontal="left" vertical="top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88" xfId="0" applyFont="1" applyBorder="1"/>
    <xf numFmtId="168" fontId="4" fillId="0" borderId="74" xfId="0" applyNumberFormat="1" applyFont="1" applyBorder="1" applyAlignment="1">
      <alignment horizontal="center"/>
    </xf>
    <xf numFmtId="168" fontId="4" fillId="0" borderId="79" xfId="0" applyNumberFormat="1" applyFont="1" applyBorder="1" applyAlignment="1">
      <alignment horizontal="center"/>
    </xf>
    <xf numFmtId="0" fontId="4" fillId="0" borderId="88" xfId="0" applyFont="1" applyBorder="1"/>
    <xf numFmtId="168" fontId="4" fillId="0" borderId="58" xfId="0" applyNumberFormat="1" applyFont="1" applyBorder="1" applyAlignment="1">
      <alignment horizontal="center"/>
    </xf>
    <xf numFmtId="168" fontId="4" fillId="0" borderId="61" xfId="0" applyNumberFormat="1" applyFont="1" applyBorder="1" applyAlignment="1">
      <alignment horizontal="center"/>
    </xf>
    <xf numFmtId="169" fontId="4" fillId="0" borderId="58" xfId="0" applyNumberFormat="1" applyFont="1" applyBorder="1" applyAlignment="1">
      <alignment horizontal="center"/>
    </xf>
    <xf numFmtId="169" fontId="4" fillId="0" borderId="61" xfId="0" applyNumberFormat="1" applyFont="1" applyBorder="1"/>
    <xf numFmtId="169" fontId="4" fillId="0" borderId="81" xfId="0" applyNumberFormat="1" applyFont="1" applyBorder="1" applyAlignment="1">
      <alignment horizontal="center"/>
    </xf>
    <xf numFmtId="169" fontId="4" fillId="0" borderId="78" xfId="0" applyNumberFormat="1" applyFont="1" applyBorder="1"/>
    <xf numFmtId="0" fontId="1" fillId="0" borderId="89" xfId="0" applyFont="1" applyBorder="1"/>
    <xf numFmtId="168" fontId="4" fillId="0" borderId="54" xfId="0" applyNumberFormat="1" applyFont="1" applyBorder="1" applyAlignment="1">
      <alignment horizontal="center"/>
    </xf>
    <xf numFmtId="0" fontId="28" fillId="0" borderId="48" xfId="0" applyFont="1" applyBorder="1"/>
    <xf numFmtId="0" fontId="1" fillId="0" borderId="52" xfId="0" applyFont="1" applyBorder="1" applyAlignment="1">
      <alignment horizontal="center"/>
    </xf>
    <xf numFmtId="0" fontId="28" fillId="0" borderId="53" xfId="0" applyFont="1" applyBorder="1"/>
    <xf numFmtId="0" fontId="4" fillId="0" borderId="74" xfId="0" applyFont="1" applyBorder="1"/>
    <xf numFmtId="0" fontId="63" fillId="0" borderId="57" xfId="0" applyFont="1" applyBorder="1"/>
    <xf numFmtId="0" fontId="51" fillId="0" borderId="95" xfId="0" applyFont="1" applyBorder="1"/>
    <xf numFmtId="0" fontId="4" fillId="0" borderId="58" xfId="0" applyFont="1" applyBorder="1"/>
    <xf numFmtId="0" fontId="51" fillId="0" borderId="56" xfId="0" applyFont="1" applyBorder="1"/>
    <xf numFmtId="0" fontId="51" fillId="0" borderId="93" xfId="0" applyFont="1" applyBorder="1"/>
    <xf numFmtId="168" fontId="4" fillId="0" borderId="58" xfId="0" applyNumberFormat="1" applyFont="1" applyBorder="1"/>
    <xf numFmtId="8" fontId="64" fillId="0" borderId="93" xfId="0" applyNumberFormat="1" applyFont="1" applyBorder="1"/>
    <xf numFmtId="8" fontId="51" fillId="0" borderId="93" xfId="0" applyNumberFormat="1" applyFont="1" applyBorder="1"/>
    <xf numFmtId="0" fontId="18" fillId="0" borderId="58" xfId="0" applyFont="1" applyBorder="1"/>
    <xf numFmtId="0" fontId="63" fillId="0" borderId="56" xfId="0" applyFont="1" applyBorder="1"/>
    <xf numFmtId="0" fontId="29" fillId="0" borderId="58" xfId="0" applyFont="1" applyBorder="1"/>
    <xf numFmtId="168" fontId="4" fillId="0" borderId="58" xfId="0" applyNumberFormat="1" applyFont="1" applyBorder="1" applyAlignment="1">
      <alignment wrapText="1"/>
    </xf>
    <xf numFmtId="0" fontId="1" fillId="0" borderId="53" xfId="0" applyFont="1" applyBorder="1" applyAlignment="1">
      <alignment horizontal="left"/>
    </xf>
    <xf numFmtId="168" fontId="4" fillId="0" borderId="54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2" xfId="0" applyFont="1" applyBorder="1"/>
    <xf numFmtId="0" fontId="1" fillId="0" borderId="55" xfId="0" applyFont="1" applyBorder="1"/>
    <xf numFmtId="0" fontId="63" fillId="0" borderId="48" xfId="0" applyFont="1" applyBorder="1"/>
    <xf numFmtId="0" fontId="51" fillId="0" borderId="50" xfId="0" applyFont="1" applyBorder="1"/>
    <xf numFmtId="0" fontId="51" fillId="0" borderId="51" xfId="0" applyFont="1" applyBorder="1"/>
    <xf numFmtId="0" fontId="51" fillId="0" borderId="111" xfId="0" applyFont="1" applyBorder="1"/>
    <xf numFmtId="172" fontId="51" fillId="0" borderId="93" xfId="0" applyNumberFormat="1" applyFont="1" applyBorder="1"/>
    <xf numFmtId="8" fontId="51" fillId="0" borderId="111" xfId="0" applyNumberFormat="1" applyFont="1" applyBorder="1"/>
    <xf numFmtId="8" fontId="65" fillId="0" borderId="93" xfId="0" applyNumberFormat="1" applyFont="1" applyBorder="1"/>
    <xf numFmtId="0" fontId="65" fillId="0" borderId="93" xfId="0" applyFont="1" applyBorder="1"/>
    <xf numFmtId="8" fontId="65" fillId="0" borderId="111" xfId="0" applyNumberFormat="1" applyFont="1" applyBorder="1"/>
    <xf numFmtId="0" fontId="63" fillId="0" borderId="93" xfId="0" applyFont="1" applyBorder="1"/>
    <xf numFmtId="0" fontId="63" fillId="0" borderId="112" xfId="0" applyFont="1" applyBorder="1"/>
    <xf numFmtId="8" fontId="51" fillId="0" borderId="113" xfId="0" applyNumberFormat="1" applyFont="1" applyBorder="1"/>
    <xf numFmtId="0" fontId="1" fillId="0" borderId="5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168" fontId="4" fillId="0" borderId="76" xfId="0" applyNumberFormat="1" applyFont="1" applyBorder="1" applyAlignment="1">
      <alignment horizontal="center"/>
    </xf>
    <xf numFmtId="168" fontId="4" fillId="0" borderId="79" xfId="0" applyNumberFormat="1" applyFont="1" applyBorder="1"/>
    <xf numFmtId="176" fontId="4" fillId="0" borderId="58" xfId="0" applyNumberFormat="1" applyFont="1" applyBorder="1" applyAlignment="1">
      <alignment horizontal="center"/>
    </xf>
    <xf numFmtId="168" fontId="70" fillId="0" borderId="58" xfId="0" applyNumberFormat="1" applyFont="1" applyBorder="1" applyAlignment="1">
      <alignment horizontal="center"/>
    </xf>
    <xf numFmtId="168" fontId="71" fillId="0" borderId="0" xfId="0" applyNumberFormat="1" applyFont="1"/>
    <xf numFmtId="177" fontId="4" fillId="0" borderId="81" xfId="0" applyNumberFormat="1" applyFont="1" applyBorder="1" applyAlignment="1">
      <alignment horizontal="center"/>
    </xf>
    <xf numFmtId="177" fontId="4" fillId="0" borderId="54" xfId="0" applyNumberFormat="1" applyFont="1" applyBorder="1" applyAlignment="1">
      <alignment horizontal="center"/>
    </xf>
    <xf numFmtId="177" fontId="4" fillId="0" borderId="103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8" fontId="4" fillId="0" borderId="80" xfId="0" applyNumberFormat="1" applyFont="1" applyBorder="1" applyAlignment="1">
      <alignment horizontal="center"/>
    </xf>
    <xf numFmtId="168" fontId="4" fillId="0" borderId="74" xfId="0" applyNumberFormat="1" applyFont="1" applyBorder="1"/>
    <xf numFmtId="168" fontId="0" fillId="0" borderId="0" xfId="0" applyNumberFormat="1"/>
    <xf numFmtId="172" fontId="4" fillId="0" borderId="0" xfId="0" applyNumberFormat="1" applyFont="1" applyAlignment="1">
      <alignment horizontal="center"/>
    </xf>
    <xf numFmtId="168" fontId="4" fillId="0" borderId="61" xfId="0" applyNumberFormat="1" applyFont="1" applyBorder="1"/>
    <xf numFmtId="172" fontId="18" fillId="0" borderId="0" xfId="0" applyNumberFormat="1" applyFont="1" applyAlignment="1">
      <alignment horizontal="left"/>
    </xf>
    <xf numFmtId="168" fontId="4" fillId="0" borderId="81" xfId="0" applyNumberFormat="1" applyFont="1" applyBorder="1" applyAlignment="1">
      <alignment horizontal="center"/>
    </xf>
    <xf numFmtId="172" fontId="42" fillId="0" borderId="0" xfId="0" applyNumberFormat="1" applyFont="1" applyAlignment="1">
      <alignment horizontal="center"/>
    </xf>
    <xf numFmtId="167" fontId="4" fillId="0" borderId="81" xfId="0" applyNumberFormat="1" applyFont="1" applyBorder="1" applyAlignment="1">
      <alignment horizontal="center"/>
    </xf>
    <xf numFmtId="10" fontId="42" fillId="0" borderId="0" xfId="0" applyNumberFormat="1" applyFont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10" fontId="4" fillId="0" borderId="0" xfId="0" applyNumberFormat="1" applyFont="1"/>
    <xf numFmtId="168" fontId="4" fillId="0" borderId="59" xfId="0" applyNumberFormat="1" applyFont="1" applyBorder="1" applyAlignment="1">
      <alignment horizontal="center"/>
    </xf>
    <xf numFmtId="178" fontId="3" fillId="0" borderId="58" xfId="0" applyNumberFormat="1" applyFont="1" applyBorder="1" applyAlignment="1">
      <alignment horizontal="center"/>
    </xf>
    <xf numFmtId="178" fontId="3" fillId="0" borderId="54" xfId="0" applyNumberFormat="1" applyFont="1" applyBorder="1" applyAlignment="1">
      <alignment horizontal="center"/>
    </xf>
    <xf numFmtId="178" fontId="4" fillId="0" borderId="58" xfId="0" applyNumberFormat="1" applyFont="1" applyBorder="1" applyAlignment="1">
      <alignment horizontal="center"/>
    </xf>
    <xf numFmtId="178" fontId="4" fillId="0" borderId="54" xfId="0" applyNumberFormat="1" applyFont="1" applyBorder="1" applyAlignment="1">
      <alignment horizontal="center"/>
    </xf>
    <xf numFmtId="0" fontId="1" fillId="0" borderId="121" xfId="0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4" fontId="4" fillId="0" borderId="74" xfId="0" applyNumberFormat="1" applyFont="1" applyBorder="1" applyAlignment="1">
      <alignment horizontal="right"/>
    </xf>
    <xf numFmtId="174" fontId="4" fillId="0" borderId="58" xfId="0" applyNumberFormat="1" applyFont="1" applyBorder="1" applyAlignment="1">
      <alignment horizontal="right"/>
    </xf>
    <xf numFmtId="174" fontId="4" fillId="0" borderId="86" xfId="0" applyNumberFormat="1" applyFont="1" applyBorder="1" applyAlignment="1">
      <alignment horizontal="right"/>
    </xf>
    <xf numFmtId="179" fontId="4" fillId="0" borderId="58" xfId="0" applyNumberFormat="1" applyFont="1" applyBorder="1" applyAlignment="1">
      <alignment horizontal="right"/>
    </xf>
    <xf numFmtId="179" fontId="4" fillId="0" borderId="86" xfId="0" applyNumberFormat="1" applyFont="1" applyBorder="1" applyAlignment="1">
      <alignment horizontal="right"/>
    </xf>
    <xf numFmtId="168" fontId="4" fillId="0" borderId="58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right"/>
    </xf>
    <xf numFmtId="4" fontId="4" fillId="0" borderId="58" xfId="0" applyNumberFormat="1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center"/>
    </xf>
    <xf numFmtId="168" fontId="1" fillId="0" borderId="58" xfId="0" applyNumberFormat="1" applyFont="1" applyBorder="1" applyAlignment="1">
      <alignment horizontal="center"/>
    </xf>
    <xf numFmtId="168" fontId="1" fillId="0" borderId="86" xfId="0" applyNumberFormat="1" applyFont="1" applyBorder="1" applyAlignment="1">
      <alignment horizontal="center"/>
    </xf>
    <xf numFmtId="166" fontId="4" fillId="0" borderId="58" xfId="0" applyNumberFormat="1" applyFont="1" applyBorder="1"/>
    <xf numFmtId="166" fontId="4" fillId="0" borderId="86" xfId="0" applyNumberFormat="1" applyFont="1" applyBorder="1"/>
    <xf numFmtId="165" fontId="4" fillId="0" borderId="58" xfId="0" applyNumberFormat="1" applyFont="1" applyBorder="1"/>
    <xf numFmtId="168" fontId="4" fillId="0" borderId="86" xfId="0" applyNumberFormat="1" applyFont="1" applyBorder="1"/>
    <xf numFmtId="10" fontId="4" fillId="0" borderId="83" xfId="0" applyNumberFormat="1" applyFont="1" applyBorder="1"/>
    <xf numFmtId="0" fontId="1" fillId="0" borderId="9" xfId="0" applyFont="1" applyBorder="1" applyAlignment="1">
      <alignment horizontal="center"/>
    </xf>
    <xf numFmtId="9" fontId="3" fillId="0" borderId="9" xfId="0" applyNumberFormat="1" applyFont="1" applyBorder="1"/>
    <xf numFmtId="170" fontId="4" fillId="0" borderId="9" xfId="0" applyNumberFormat="1" applyFont="1" applyBorder="1"/>
    <xf numFmtId="0" fontId="28" fillId="0" borderId="90" xfId="0" applyFont="1" applyBorder="1" applyAlignment="1">
      <alignment horizontal="left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1" fillId="0" borderId="92" xfId="0" applyFont="1" applyBorder="1"/>
    <xf numFmtId="168" fontId="4" fillId="0" borderId="93" xfId="0" applyNumberFormat="1" applyFont="1" applyBorder="1" applyAlignment="1">
      <alignment horizontal="center"/>
    </xf>
    <xf numFmtId="0" fontId="4" fillId="0" borderId="94" xfId="0" applyFont="1" applyBorder="1"/>
    <xf numFmtId="168" fontId="4" fillId="0" borderId="95" xfId="0" applyNumberFormat="1" applyFont="1" applyBorder="1" applyAlignment="1">
      <alignment horizontal="center"/>
    </xf>
    <xf numFmtId="0" fontId="1" fillId="0" borderId="94" xfId="0" applyFont="1" applyBorder="1"/>
    <xf numFmtId="0" fontId="1" fillId="0" borderId="94" xfId="0" applyFont="1" applyBorder="1" applyAlignment="1">
      <alignment horizontal="left"/>
    </xf>
    <xf numFmtId="168" fontId="4" fillId="0" borderId="97" xfId="0" applyNumberFormat="1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168" fontId="4" fillId="0" borderId="99" xfId="0" applyNumberFormat="1" applyFont="1" applyBorder="1" applyAlignment="1">
      <alignment horizontal="center"/>
    </xf>
    <xf numFmtId="168" fontId="4" fillId="0" borderId="100" xfId="0" applyNumberFormat="1" applyFont="1" applyBorder="1" applyAlignment="1">
      <alignment horizontal="center"/>
    </xf>
    <xf numFmtId="168" fontId="4" fillId="0" borderId="55" xfId="0" applyNumberFormat="1" applyFont="1" applyBorder="1" applyAlignment="1">
      <alignment horizontal="center"/>
    </xf>
    <xf numFmtId="0" fontId="36" fillId="22" borderId="125" xfId="0" applyFont="1" applyFill="1" applyBorder="1" applyAlignment="1">
      <alignment horizontal="center"/>
    </xf>
    <xf numFmtId="0" fontId="36" fillId="22" borderId="124" xfId="0" applyFont="1" applyFill="1" applyBorder="1" applyAlignment="1">
      <alignment horizontal="center"/>
    </xf>
    <xf numFmtId="0" fontId="69" fillId="0" borderId="126" xfId="0" applyFont="1" applyBorder="1" applyAlignment="1">
      <alignment horizontal="left" vertical="top" wrapText="1"/>
    </xf>
    <xf numFmtId="4" fontId="30" fillId="0" borderId="127" xfId="0" applyNumberFormat="1" applyFont="1" applyBorder="1" applyAlignment="1">
      <alignment horizontal="left" vertical="top"/>
    </xf>
    <xf numFmtId="4" fontId="30" fillId="0" borderId="128" xfId="0" applyNumberFormat="1" applyFont="1" applyBorder="1" applyAlignment="1">
      <alignment horizontal="left" vertical="top"/>
    </xf>
    <xf numFmtId="0" fontId="69" fillId="0" borderId="129" xfId="0" applyFont="1" applyBorder="1" applyAlignment="1">
      <alignment vertical="top" wrapText="1"/>
    </xf>
    <xf numFmtId="4" fontId="30" fillId="0" borderId="130" xfId="0" applyNumberFormat="1" applyFont="1" applyBorder="1" applyAlignment="1">
      <alignment horizontal="left" vertical="top"/>
    </xf>
    <xf numFmtId="0" fontId="69" fillId="0" borderId="131" xfId="0" applyFont="1" applyBorder="1" applyAlignment="1">
      <alignment vertical="top" wrapText="1"/>
    </xf>
    <xf numFmtId="4" fontId="30" fillId="0" borderId="132" xfId="0" applyNumberFormat="1" applyFont="1" applyBorder="1" applyAlignment="1">
      <alignment horizontal="left" vertical="top"/>
    </xf>
    <xf numFmtId="4" fontId="30" fillId="0" borderId="133" xfId="0" applyNumberFormat="1" applyFont="1" applyBorder="1" applyAlignment="1">
      <alignment horizontal="left" vertical="top"/>
    </xf>
    <xf numFmtId="183" fontId="0" fillId="0" borderId="9" xfId="0" applyNumberFormat="1" applyBorder="1"/>
    <xf numFmtId="0" fontId="0" fillId="0" borderId="103" xfId="0" applyBorder="1" applyAlignment="1">
      <alignment horizontal="center"/>
    </xf>
    <xf numFmtId="8" fontId="27" fillId="0" borderId="9" xfId="0" applyNumberFormat="1" applyFont="1" applyBorder="1" applyAlignment="1">
      <alignment horizontal="left" vertical="top"/>
    </xf>
    <xf numFmtId="0" fontId="55" fillId="0" borderId="103" xfId="3" applyBorder="1"/>
    <xf numFmtId="0" fontId="1" fillId="21" borderId="96" xfId="0" applyFont="1" applyFill="1" applyBorder="1"/>
    <xf numFmtId="0" fontId="55" fillId="0" borderId="0" xfId="3"/>
    <xf numFmtId="0" fontId="72" fillId="0" borderId="103" xfId="0" applyFont="1" applyBorder="1"/>
    <xf numFmtId="8" fontId="72" fillId="0" borderId="103" xfId="0" applyNumberFormat="1" applyFont="1" applyBorder="1" applyAlignment="1">
      <alignment horizontal="center"/>
    </xf>
    <xf numFmtId="0" fontId="72" fillId="0" borderId="0" xfId="0" applyFont="1"/>
    <xf numFmtId="8" fontId="72" fillId="0" borderId="0" xfId="0" applyNumberFormat="1" applyFont="1" applyAlignment="1">
      <alignment horizontal="center"/>
    </xf>
    <xf numFmtId="168" fontId="3" fillId="0" borderId="58" xfId="0" applyNumberFormat="1" applyFont="1" applyBorder="1" applyAlignment="1">
      <alignment horizontal="center"/>
    </xf>
    <xf numFmtId="2" fontId="58" fillId="0" borderId="102" xfId="0" applyNumberFormat="1" applyFont="1" applyBorder="1" applyAlignment="1">
      <alignment wrapText="1"/>
    </xf>
    <xf numFmtId="3" fontId="0" fillId="0" borderId="64" xfId="0" applyNumberFormat="1" applyBorder="1" applyAlignment="1">
      <alignment horizontal="left"/>
    </xf>
    <xf numFmtId="0" fontId="55" fillId="0" borderId="9" xfId="3" applyFill="1" applyBorder="1" applyAlignment="1">
      <alignment horizontal="left" vertical="top" wrapText="1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7" fillId="0" borderId="135" xfId="0" applyFont="1" applyBorder="1"/>
    <xf numFmtId="0" fontId="53" fillId="0" borderId="47" xfId="2" applyFont="1" applyFill="1" applyBorder="1" applyAlignment="1">
      <alignment vertical="top" wrapText="1"/>
    </xf>
    <xf numFmtId="0" fontId="19" fillId="18" borderId="136" xfId="0" applyFont="1" applyFill="1" applyBorder="1" applyAlignment="1">
      <alignment horizontal="center"/>
    </xf>
    <xf numFmtId="0" fontId="4" fillId="18" borderId="25" xfId="0" applyFont="1" applyFill="1" applyBorder="1" applyAlignment="1">
      <alignment horizontal="center"/>
    </xf>
    <xf numFmtId="181" fontId="4" fillId="18" borderId="137" xfId="0" applyNumberFormat="1" applyFont="1" applyFill="1" applyBorder="1"/>
    <xf numFmtId="181" fontId="4" fillId="18" borderId="138" xfId="0" applyNumberFormat="1" applyFont="1" applyFill="1" applyBorder="1"/>
    <xf numFmtId="0" fontId="4" fillId="0" borderId="102" xfId="0" applyFont="1" applyBorder="1" applyAlignment="1">
      <alignment wrapText="1"/>
    </xf>
    <xf numFmtId="0" fontId="55" fillId="0" borderId="9" xfId="3" applyFill="1" applyBorder="1" applyAlignment="1">
      <alignment wrapText="1"/>
    </xf>
    <xf numFmtId="184" fontId="5" fillId="0" borderId="103" xfId="0" applyNumberFormat="1" applyFont="1" applyBorder="1"/>
    <xf numFmtId="168" fontId="4" fillId="21" borderId="81" xfId="0" applyNumberFormat="1" applyFont="1" applyFill="1" applyBorder="1" applyAlignment="1">
      <alignment horizontal="center"/>
    </xf>
    <xf numFmtId="168" fontId="4" fillId="21" borderId="79" xfId="0" applyNumberFormat="1" applyFont="1" applyFill="1" applyBorder="1" applyAlignment="1">
      <alignment horizontal="center"/>
    </xf>
    <xf numFmtId="0" fontId="58" fillId="21" borderId="71" xfId="0" applyFont="1" applyFill="1" applyBorder="1" applyAlignment="1">
      <alignment wrapText="1"/>
    </xf>
    <xf numFmtId="0" fontId="73" fillId="0" borderId="103" xfId="0" applyFont="1" applyBorder="1"/>
    <xf numFmtId="0" fontId="73" fillId="0" borderId="0" xfId="0" applyFont="1"/>
    <xf numFmtId="0" fontId="51" fillId="0" borderId="26" xfId="0" applyFont="1" applyBorder="1"/>
    <xf numFmtId="0" fontId="63" fillId="0" borderId="40" xfId="0" applyFont="1" applyBorder="1"/>
    <xf numFmtId="0" fontId="74" fillId="0" borderId="48" xfId="0" applyFont="1" applyBorder="1"/>
    <xf numFmtId="0" fontId="74" fillId="0" borderId="50" xfId="0" applyFont="1" applyBorder="1"/>
    <xf numFmtId="0" fontId="74" fillId="0" borderId="51" xfId="0" applyFont="1" applyBorder="1"/>
    <xf numFmtId="0" fontId="63" fillId="0" borderId="113" xfId="0" applyFont="1" applyBorder="1"/>
    <xf numFmtId="0" fontId="63" fillId="0" borderId="139" xfId="0" applyFont="1" applyBorder="1"/>
    <xf numFmtId="0" fontId="63" fillId="0" borderId="103" xfId="0" applyFont="1" applyBorder="1"/>
    <xf numFmtId="0" fontId="74" fillId="0" borderId="140" xfId="0" applyFont="1" applyBorder="1"/>
    <xf numFmtId="0" fontId="74" fillId="0" borderId="141" xfId="0" applyFont="1" applyBorder="1"/>
    <xf numFmtId="0" fontId="74" fillId="0" borderId="142" xfId="0" applyFont="1" applyBorder="1"/>
    <xf numFmtId="0" fontId="63" fillId="0" borderId="143" xfId="0" applyFont="1" applyBorder="1"/>
    <xf numFmtId="0" fontId="63" fillId="0" borderId="144" xfId="0" applyFont="1" applyBorder="1"/>
    <xf numFmtId="0" fontId="63" fillId="0" borderId="145" xfId="0" applyFont="1" applyBorder="1"/>
    <xf numFmtId="0" fontId="51" fillId="0" borderId="112" xfId="0" applyFont="1" applyBorder="1"/>
    <xf numFmtId="0" fontId="51" fillId="0" borderId="113" xfId="0" applyFont="1" applyBorder="1"/>
    <xf numFmtId="0" fontId="51" fillId="0" borderId="144" xfId="0" applyFont="1" applyBorder="1"/>
    <xf numFmtId="0" fontId="51" fillId="0" borderId="145" xfId="0" applyFont="1" applyBorder="1"/>
    <xf numFmtId="0" fontId="63" fillId="0" borderId="26" xfId="0" applyFont="1" applyBorder="1"/>
    <xf numFmtId="10" fontId="51" fillId="0" borderId="93" xfId="0" applyNumberFormat="1" applyFont="1" applyBorder="1"/>
    <xf numFmtId="0" fontId="74" fillId="0" borderId="73" xfId="0" applyFont="1" applyBorder="1"/>
    <xf numFmtId="0" fontId="74" fillId="0" borderId="0" xfId="0" applyFont="1"/>
    <xf numFmtId="0" fontId="74" fillId="0" borderId="60" xfId="0" applyFont="1" applyBorder="1"/>
    <xf numFmtId="0" fontId="63" fillId="0" borderId="146" xfId="0" applyFont="1" applyBorder="1"/>
    <xf numFmtId="0" fontId="63" fillId="0" borderId="147" xfId="0" applyFont="1" applyBorder="1"/>
    <xf numFmtId="0" fontId="51" fillId="0" borderId="74" xfId="0" applyFont="1" applyBorder="1"/>
    <xf numFmtId="0" fontId="51" fillId="0" borderId="148" xfId="0" applyFont="1" applyBorder="1"/>
    <xf numFmtId="0" fontId="51" fillId="0" borderId="79" xfId="0" applyFont="1" applyBorder="1"/>
    <xf numFmtId="0" fontId="63" fillId="0" borderId="89" xfId="0" applyFont="1" applyBorder="1"/>
    <xf numFmtId="0" fontId="51" fillId="0" borderId="146" xfId="0" applyFont="1" applyBorder="1"/>
    <xf numFmtId="181" fontId="51" fillId="0" borderId="58" xfId="0" applyNumberFormat="1" applyFont="1" applyBorder="1"/>
    <xf numFmtId="181" fontId="51" fillId="0" borderId="74" xfId="0" applyNumberFormat="1" applyFont="1" applyBorder="1"/>
    <xf numFmtId="181" fontId="51" fillId="0" borderId="93" xfId="0" applyNumberFormat="1" applyFont="1" applyBorder="1"/>
    <xf numFmtId="181" fontId="51" fillId="0" borderId="148" xfId="0" applyNumberFormat="1" applyFont="1" applyBorder="1"/>
    <xf numFmtId="181" fontId="51" fillId="0" borderId="79" xfId="0" applyNumberFormat="1" applyFont="1" applyBorder="1"/>
    <xf numFmtId="181" fontId="51" fillId="0" borderId="113" xfId="0" applyNumberFormat="1" applyFont="1" applyBorder="1"/>
    <xf numFmtId="0" fontId="76" fillId="0" borderId="103" xfId="0" applyFont="1" applyBorder="1"/>
    <xf numFmtId="0" fontId="71" fillId="0" borderId="103" xfId="0" applyFont="1" applyBorder="1"/>
    <xf numFmtId="0" fontId="62" fillId="0" borderId="103" xfId="0" applyFont="1" applyBorder="1"/>
    <xf numFmtId="0" fontId="63" fillId="0" borderId="79" xfId="0" applyFont="1" applyBorder="1"/>
    <xf numFmtId="0" fontId="74" fillId="0" borderId="103" xfId="0" applyFont="1" applyBorder="1"/>
    <xf numFmtId="0" fontId="66" fillId="0" borderId="0" xfId="0" applyFont="1" applyAlignment="1">
      <alignment readingOrder="1"/>
    </xf>
    <xf numFmtId="0" fontId="66" fillId="0" borderId="150" xfId="0" applyFont="1" applyBorder="1" applyAlignment="1">
      <alignment readingOrder="1"/>
    </xf>
    <xf numFmtId="0" fontId="67" fillId="0" borderId="0" xfId="0" applyFont="1" applyAlignment="1">
      <alignment readingOrder="1"/>
    </xf>
    <xf numFmtId="0" fontId="66" fillId="0" borderId="157" xfId="0" applyFont="1" applyBorder="1" applyAlignment="1">
      <alignment readingOrder="1"/>
    </xf>
    <xf numFmtId="0" fontId="66" fillId="0" borderId="71" xfId="0" applyFont="1" applyBorder="1" applyAlignment="1">
      <alignment readingOrder="1"/>
    </xf>
    <xf numFmtId="0" fontId="67" fillId="0" borderId="150" xfId="0" applyFont="1" applyBorder="1" applyAlignment="1">
      <alignment readingOrder="1"/>
    </xf>
    <xf numFmtId="0" fontId="78" fillId="0" borderId="150" xfId="0" applyFont="1" applyBorder="1" applyAlignment="1">
      <alignment readingOrder="1"/>
    </xf>
    <xf numFmtId="181" fontId="51" fillId="0" borderId="95" xfId="0" applyNumberFormat="1" applyFont="1" applyBorder="1"/>
    <xf numFmtId="0" fontId="78" fillId="0" borderId="135" xfId="0" applyFont="1" applyBorder="1" applyAlignment="1">
      <alignment readingOrder="1"/>
    </xf>
    <xf numFmtId="0" fontId="78" fillId="0" borderId="156" xfId="0" applyFont="1" applyBorder="1" applyAlignment="1">
      <alignment readingOrder="1"/>
    </xf>
    <xf numFmtId="0" fontId="66" fillId="0" borderId="160" xfId="0" applyFont="1" applyBorder="1" applyAlignment="1">
      <alignment readingOrder="1"/>
    </xf>
    <xf numFmtId="0" fontId="67" fillId="0" borderId="160" xfId="0" applyFont="1" applyBorder="1" applyAlignment="1">
      <alignment readingOrder="1"/>
    </xf>
    <xf numFmtId="0" fontId="78" fillId="0" borderId="162" xfId="0" applyFont="1" applyBorder="1" applyAlignment="1">
      <alignment readingOrder="1"/>
    </xf>
    <xf numFmtId="0" fontId="74" fillId="0" borderId="90" xfId="0" applyFont="1" applyBorder="1"/>
    <xf numFmtId="0" fontId="63" fillId="0" borderId="113" xfId="0" applyFont="1" applyBorder="1" applyAlignment="1">
      <alignment wrapText="1"/>
    </xf>
    <xf numFmtId="0" fontId="63" fillId="0" borderId="92" xfId="0" applyFont="1" applyBorder="1"/>
    <xf numFmtId="0" fontId="51" fillId="0" borderId="163" xfId="0" applyFont="1" applyBorder="1"/>
    <xf numFmtId="0" fontId="63" fillId="0" borderId="163" xfId="0" applyFont="1" applyBorder="1"/>
    <xf numFmtId="0" fontId="63" fillId="0" borderId="164" xfId="0" applyFont="1" applyBorder="1"/>
    <xf numFmtId="0" fontId="78" fillId="0" borderId="9" xfId="0" applyFont="1" applyBorder="1" applyAlignment="1">
      <alignment readingOrder="1"/>
    </xf>
    <xf numFmtId="0" fontId="66" fillId="0" borderId="103" xfId="0" applyFont="1" applyBorder="1" applyAlignment="1">
      <alignment readingOrder="1"/>
    </xf>
    <xf numFmtId="9" fontId="78" fillId="0" borderId="9" xfId="0" applyNumberFormat="1" applyFont="1" applyBorder="1" applyAlignment="1">
      <alignment readingOrder="1"/>
    </xf>
    <xf numFmtId="9" fontId="78" fillId="0" borderId="103" xfId="0" applyNumberFormat="1" applyFont="1" applyBorder="1" applyAlignment="1">
      <alignment readingOrder="1"/>
    </xf>
    <xf numFmtId="10" fontId="78" fillId="0" borderId="9" xfId="0" applyNumberFormat="1" applyFont="1" applyBorder="1" applyAlignment="1">
      <alignment readingOrder="1"/>
    </xf>
    <xf numFmtId="0" fontId="77" fillId="0" borderId="95" xfId="0" applyFont="1" applyBorder="1"/>
    <xf numFmtId="0" fontId="77" fillId="0" borderId="93" xfId="0" applyFont="1" applyBorder="1"/>
    <xf numFmtId="0" fontId="71" fillId="0" borderId="93" xfId="0" applyFont="1" applyBorder="1"/>
    <xf numFmtId="0" fontId="71" fillId="0" borderId="74" xfId="0" applyFont="1" applyBorder="1"/>
    <xf numFmtId="181" fontId="51" fillId="0" borderId="111" xfId="0" applyNumberFormat="1" applyFont="1" applyBorder="1"/>
    <xf numFmtId="0" fontId="79" fillId="0" borderId="0" xfId="0" applyFont="1"/>
    <xf numFmtId="0" fontId="77" fillId="0" borderId="58" xfId="0" applyFont="1" applyBorder="1"/>
    <xf numFmtId="168" fontId="4" fillId="16" borderId="58" xfId="0" applyNumberFormat="1" applyFont="1" applyFill="1" applyBorder="1" applyAlignment="1">
      <alignment horizontal="center"/>
    </xf>
    <xf numFmtId="0" fontId="78" fillId="0" borderId="165" xfId="0" applyFont="1" applyBorder="1" applyAlignment="1">
      <alignment readingOrder="1"/>
    </xf>
    <xf numFmtId="0" fontId="67" fillId="0" borderId="156" xfId="0" applyFont="1" applyBorder="1" applyAlignment="1">
      <alignment readingOrder="1"/>
    </xf>
    <xf numFmtId="9" fontId="66" fillId="0" borderId="71" xfId="0" applyNumberFormat="1" applyFont="1" applyBorder="1" applyAlignment="1">
      <alignment readingOrder="1"/>
    </xf>
    <xf numFmtId="0" fontId="67" fillId="0" borderId="135" xfId="0" applyFont="1" applyBorder="1" applyAlignment="1">
      <alignment readingOrder="1"/>
    </xf>
    <xf numFmtId="0" fontId="66" fillId="0" borderId="102" xfId="0" applyFont="1" applyBorder="1" applyAlignment="1">
      <alignment readingOrder="1"/>
    </xf>
    <xf numFmtId="0" fontId="66" fillId="0" borderId="155" xfId="0" applyFont="1" applyBorder="1" applyAlignment="1">
      <alignment readingOrder="1"/>
    </xf>
    <xf numFmtId="0" fontId="80" fillId="0" borderId="0" xfId="0" applyFont="1" applyAlignment="1">
      <alignment readingOrder="1"/>
    </xf>
    <xf numFmtId="0" fontId="66" fillId="20" borderId="0" xfId="0" applyFont="1" applyFill="1" applyAlignment="1">
      <alignment readingOrder="1"/>
    </xf>
    <xf numFmtId="9" fontId="66" fillId="0" borderId="0" xfId="0" applyNumberFormat="1" applyFont="1" applyAlignment="1">
      <alignment readingOrder="1"/>
    </xf>
    <xf numFmtId="0" fontId="78" fillId="0" borderId="166" xfId="0" applyFont="1" applyBorder="1" applyAlignment="1">
      <alignment readingOrder="1"/>
    </xf>
    <xf numFmtId="10" fontId="66" fillId="0" borderId="150" xfId="0" applyNumberFormat="1" applyFont="1" applyBorder="1" applyAlignment="1">
      <alignment readingOrder="1"/>
    </xf>
    <xf numFmtId="0" fontId="67" fillId="0" borderId="155" xfId="0" applyFont="1" applyBorder="1" applyAlignment="1">
      <alignment readingOrder="1"/>
    </xf>
    <xf numFmtId="0" fontId="78" fillId="0" borderId="178" xfId="0" applyFont="1" applyBorder="1" applyAlignment="1">
      <alignment wrapText="1" readingOrder="1"/>
    </xf>
    <xf numFmtId="0" fontId="78" fillId="0" borderId="160" xfId="0" applyFont="1" applyBorder="1" applyAlignment="1">
      <alignment wrapText="1" readingOrder="1"/>
    </xf>
    <xf numFmtId="0" fontId="78" fillId="0" borderId="159" xfId="0" applyFont="1" applyBorder="1" applyAlignment="1">
      <alignment wrapText="1" readingOrder="1"/>
    </xf>
    <xf numFmtId="0" fontId="66" fillId="0" borderId="179" xfId="0" applyFont="1" applyBorder="1" applyAlignment="1">
      <alignment readingOrder="1"/>
    </xf>
    <xf numFmtId="0" fontId="67" fillId="0" borderId="102" xfId="0" applyFont="1" applyBorder="1" applyAlignment="1">
      <alignment readingOrder="1"/>
    </xf>
    <xf numFmtId="0" fontId="67" fillId="0" borderId="158" xfId="0" applyFont="1" applyBorder="1" applyAlignment="1">
      <alignment readingOrder="1"/>
    </xf>
    <xf numFmtId="0" fontId="66" fillId="0" borderId="159" xfId="0" applyFont="1" applyBorder="1" applyAlignment="1">
      <alignment readingOrder="1"/>
    </xf>
    <xf numFmtId="0" fontId="67" fillId="0" borderId="161" xfId="0" applyFont="1" applyBorder="1" applyAlignment="1">
      <alignment readingOrder="1"/>
    </xf>
    <xf numFmtId="0" fontId="67" fillId="0" borderId="157" xfId="0" applyFont="1" applyBorder="1" applyAlignment="1">
      <alignment readingOrder="1"/>
    </xf>
    <xf numFmtId="0" fontId="67" fillId="0" borderId="179" xfId="0" applyFont="1" applyBorder="1" applyAlignment="1">
      <alignment readingOrder="1"/>
    </xf>
    <xf numFmtId="0" fontId="66" fillId="0" borderId="178" xfId="0" applyFont="1" applyBorder="1" applyAlignment="1">
      <alignment readingOrder="1"/>
    </xf>
    <xf numFmtId="0" fontId="74" fillId="0" borderId="52" xfId="0" applyFont="1" applyBorder="1"/>
    <xf numFmtId="0" fontId="63" fillId="0" borderId="148" xfId="0" applyFont="1" applyBorder="1"/>
    <xf numFmtId="0" fontId="66" fillId="0" borderId="157" xfId="0" applyFont="1" applyBorder="1" applyAlignment="1">
      <alignment wrapText="1" readingOrder="1"/>
    </xf>
    <xf numFmtId="0" fontId="66" fillId="0" borderId="102" xfId="0" applyFont="1" applyBorder="1" applyAlignment="1">
      <alignment wrapText="1" readingOrder="1"/>
    </xf>
    <xf numFmtId="0" fontId="66" fillId="0" borderId="158" xfId="0" applyFont="1" applyBorder="1" applyAlignment="1">
      <alignment wrapText="1" readingOrder="1"/>
    </xf>
    <xf numFmtId="0" fontId="78" fillId="0" borderId="154" xfId="0" applyFont="1" applyBorder="1" applyAlignment="1">
      <alignment readingOrder="1"/>
    </xf>
    <xf numFmtId="0" fontId="75" fillId="24" borderId="0" xfId="0" applyFont="1" applyFill="1"/>
    <xf numFmtId="0" fontId="0" fillId="24" borderId="0" xfId="0" applyFill="1"/>
    <xf numFmtId="0" fontId="67" fillId="0" borderId="71" xfId="0" applyFont="1" applyBorder="1" applyAlignment="1">
      <alignment readingOrder="1"/>
    </xf>
    <xf numFmtId="0" fontId="81" fillId="0" borderId="0" xfId="0" quotePrefix="1" applyFont="1" applyAlignment="1">
      <alignment readingOrder="1"/>
    </xf>
    <xf numFmtId="0" fontId="82" fillId="0" borderId="0" xfId="0" quotePrefix="1" applyFont="1" applyAlignment="1">
      <alignment readingOrder="1"/>
    </xf>
    <xf numFmtId="10" fontId="66" fillId="0" borderId="103" xfId="0" applyNumberFormat="1" applyFont="1" applyBorder="1" applyAlignment="1">
      <alignment readingOrder="1"/>
    </xf>
    <xf numFmtId="181" fontId="77" fillId="0" borderId="58" xfId="0" applyNumberFormat="1" applyFont="1" applyBorder="1"/>
    <xf numFmtId="181" fontId="77" fillId="0" borderId="95" xfId="0" applyNumberFormat="1" applyFont="1" applyBorder="1"/>
    <xf numFmtId="0" fontId="68" fillId="9" borderId="103" xfId="0" applyFont="1" applyFill="1" applyBorder="1"/>
    <xf numFmtId="0" fontId="71" fillId="0" borderId="148" xfId="0" applyFont="1" applyBorder="1"/>
    <xf numFmtId="0" fontId="77" fillId="0" borderId="79" xfId="0" applyFont="1" applyBorder="1"/>
    <xf numFmtId="0" fontId="68" fillId="0" borderId="74" xfId="0" applyFont="1" applyBorder="1"/>
    <xf numFmtId="0" fontId="68" fillId="0" borderId="103" xfId="0" applyFont="1" applyBorder="1"/>
    <xf numFmtId="0" fontId="71" fillId="0" borderId="79" xfId="0" applyFont="1" applyBorder="1"/>
    <xf numFmtId="0" fontId="68" fillId="0" borderId="53" xfId="0" applyFont="1" applyBorder="1"/>
    <xf numFmtId="181" fontId="68" fillId="0" borderId="58" xfId="0" applyNumberFormat="1" applyFont="1" applyBorder="1"/>
    <xf numFmtId="185" fontId="51" fillId="0" borderId="93" xfId="0" applyNumberFormat="1" applyFont="1" applyBorder="1"/>
    <xf numFmtId="9" fontId="66" fillId="0" borderId="9" xfId="0" applyNumberFormat="1" applyFont="1" applyBorder="1" applyAlignment="1">
      <alignment readingOrder="1"/>
    </xf>
    <xf numFmtId="181" fontId="77" fillId="0" borderId="74" xfId="0" applyNumberFormat="1" applyFont="1" applyBorder="1"/>
    <xf numFmtId="181" fontId="71" fillId="0" borderId="111" xfId="0" applyNumberFormat="1" applyFont="1" applyBorder="1"/>
    <xf numFmtId="0" fontId="71" fillId="0" borderId="58" xfId="0" applyFont="1" applyBorder="1"/>
    <xf numFmtId="0" fontId="71" fillId="0" borderId="149" xfId="0" applyFont="1" applyBorder="1"/>
    <xf numFmtId="0" fontId="76" fillId="0" borderId="9" xfId="0" applyFont="1" applyBorder="1"/>
    <xf numFmtId="181" fontId="71" fillId="0" borderId="9" xfId="0" applyNumberFormat="1" applyFont="1" applyBorder="1"/>
    <xf numFmtId="181" fontId="71" fillId="0" borderId="93" xfId="0" applyNumberFormat="1" applyFont="1" applyBorder="1"/>
    <xf numFmtId="181" fontId="71" fillId="0" borderId="79" xfId="0" applyNumberFormat="1" applyFont="1" applyBorder="1"/>
    <xf numFmtId="181" fontId="71" fillId="0" borderId="113" xfId="0" applyNumberFormat="1" applyFont="1" applyBorder="1"/>
    <xf numFmtId="181" fontId="71" fillId="0" borderId="147" xfId="0" applyNumberFormat="1" applyFont="1" applyBorder="1"/>
    <xf numFmtId="181" fontId="71" fillId="0" borderId="74" xfId="0" applyNumberFormat="1" applyFont="1" applyBorder="1"/>
    <xf numFmtId="181" fontId="51" fillId="0" borderId="186" xfId="0" applyNumberFormat="1" applyFont="1" applyBorder="1"/>
    <xf numFmtId="0" fontId="51" fillId="0" borderId="187" xfId="0" applyFont="1" applyBorder="1"/>
    <xf numFmtId="181" fontId="51" fillId="0" borderId="188" xfId="0" applyNumberFormat="1" applyFont="1" applyBorder="1"/>
    <xf numFmtId="0" fontId="51" fillId="0" borderId="189" xfId="0" applyFont="1" applyBorder="1"/>
    <xf numFmtId="0" fontId="51" fillId="0" borderId="143" xfId="0" applyFont="1" applyBorder="1"/>
    <xf numFmtId="0" fontId="63" fillId="0" borderId="146" xfId="0" applyFont="1" applyBorder="1" applyAlignment="1">
      <alignment wrapText="1"/>
    </xf>
    <xf numFmtId="0" fontId="63" fillId="0" borderId="147" xfId="0" applyFont="1" applyBorder="1" applyAlignment="1">
      <alignment wrapText="1"/>
    </xf>
    <xf numFmtId="0" fontId="51" fillId="0" borderId="42" xfId="0" applyFont="1" applyBorder="1"/>
    <xf numFmtId="0" fontId="51" fillId="0" borderId="103" xfId="0" applyFont="1" applyBorder="1" applyAlignment="1">
      <alignment wrapText="1"/>
    </xf>
    <xf numFmtId="0" fontId="83" fillId="0" borderId="103" xfId="0" applyFont="1" applyBorder="1"/>
    <xf numFmtId="0" fontId="51" fillId="0" borderId="0" xfId="0" applyFont="1"/>
    <xf numFmtId="181" fontId="51" fillId="0" borderId="50" xfId="0" applyNumberFormat="1" applyFont="1" applyBorder="1"/>
    <xf numFmtId="181" fontId="63" fillId="0" borderId="93" xfId="0" applyNumberFormat="1" applyFont="1" applyBorder="1"/>
    <xf numFmtId="0" fontId="78" fillId="0" borderId="102" xfId="0" applyFont="1" applyBorder="1" applyAlignment="1">
      <alignment readingOrder="1"/>
    </xf>
    <xf numFmtId="0" fontId="67" fillId="0" borderId="103" xfId="0" applyFont="1" applyBorder="1" applyAlignment="1">
      <alignment readingOrder="1"/>
    </xf>
    <xf numFmtId="0" fontId="63" fillId="0" borderId="186" xfId="0" applyFont="1" applyBorder="1"/>
    <xf numFmtId="0" fontId="63" fillId="0" borderId="190" xfId="0" applyFont="1" applyBorder="1"/>
    <xf numFmtId="0" fontId="74" fillId="0" borderId="191" xfId="0" applyFont="1" applyBorder="1"/>
    <xf numFmtId="0" fontId="74" fillId="0" borderId="192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87" fillId="0" borderId="0" xfId="0" applyFont="1" applyAlignment="1">
      <alignment horizontal="right" vertical="top" wrapText="1"/>
    </xf>
    <xf numFmtId="0" fontId="8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88" fillId="0" borderId="0" xfId="0" applyNumberFormat="1" applyFont="1" applyAlignment="1">
      <alignment horizontal="center" vertical="top" shrinkToFit="1"/>
    </xf>
    <xf numFmtId="9" fontId="0" fillId="0" borderId="104" xfId="4" applyFont="1" applyBorder="1" applyAlignment="1">
      <alignment horizontal="center" vertical="center" wrapText="1"/>
    </xf>
    <xf numFmtId="9" fontId="88" fillId="0" borderId="104" xfId="0" applyNumberFormat="1" applyFont="1" applyBorder="1" applyAlignment="1">
      <alignment horizontal="center" vertical="center" shrinkToFit="1"/>
    </xf>
    <xf numFmtId="9" fontId="0" fillId="0" borderId="104" xfId="0" applyNumberFormat="1" applyBorder="1" applyAlignment="1">
      <alignment horizontal="center" vertical="center" wrapText="1"/>
    </xf>
    <xf numFmtId="169" fontId="0" fillId="0" borderId="104" xfId="0" applyNumberFormat="1" applyBorder="1" applyAlignment="1">
      <alignment horizontal="center" vertical="center" wrapText="1"/>
    </xf>
    <xf numFmtId="3" fontId="88" fillId="0" borderId="0" xfId="0" applyNumberFormat="1" applyFont="1" applyAlignment="1">
      <alignment horizontal="center" vertical="top" shrinkToFit="1"/>
    </xf>
    <xf numFmtId="1" fontId="88" fillId="0" borderId="0" xfId="0" applyNumberFormat="1" applyFont="1" applyAlignment="1">
      <alignment horizontal="center" vertical="top" shrinkToFit="1"/>
    </xf>
    <xf numFmtId="2" fontId="0" fillId="0" borderId="0" xfId="0" applyNumberFormat="1" applyAlignment="1">
      <alignment horizontal="center" vertical="center" wrapText="1"/>
    </xf>
    <xf numFmtId="0" fontId="0" fillId="0" borderId="131" xfId="0" applyBorder="1" applyAlignment="1">
      <alignment vertical="top" wrapText="1"/>
    </xf>
    <xf numFmtId="0" fontId="0" fillId="0" borderId="132" xfId="0" applyBorder="1" applyAlignment="1">
      <alignment vertical="top" wrapText="1"/>
    </xf>
    <xf numFmtId="169" fontId="0" fillId="26" borderId="133" xfId="0" applyNumberFormat="1" applyFill="1" applyBorder="1" applyAlignment="1">
      <alignment vertical="top" wrapText="1"/>
    </xf>
    <xf numFmtId="169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26" borderId="0" xfId="0" applyFill="1" applyAlignment="1">
      <alignment vertical="top" wrapText="1"/>
    </xf>
    <xf numFmtId="0" fontId="89" fillId="0" borderId="0" xfId="0" applyFont="1" applyAlignment="1">
      <alignment wrapText="1"/>
    </xf>
    <xf numFmtId="0" fontId="89" fillId="0" borderId="0" xfId="0" applyFont="1" applyAlignment="1">
      <alignment horizontal="right" wrapText="1"/>
    </xf>
    <xf numFmtId="0" fontId="89" fillId="0" borderId="64" xfId="0" applyFont="1" applyBorder="1" applyAlignment="1">
      <alignment wrapText="1"/>
    </xf>
    <xf numFmtId="0" fontId="89" fillId="0" borderId="193" xfId="0" applyFont="1" applyBorder="1" applyAlignment="1">
      <alignment horizontal="right" wrapText="1"/>
    </xf>
    <xf numFmtId="0" fontId="89" fillId="0" borderId="62" xfId="0" applyFont="1" applyBorder="1" applyAlignment="1">
      <alignment wrapText="1"/>
    </xf>
    <xf numFmtId="0" fontId="89" fillId="0" borderId="63" xfId="0" applyFont="1" applyBorder="1" applyAlignment="1">
      <alignment horizontal="right" wrapText="1"/>
    </xf>
    <xf numFmtId="1" fontId="0" fillId="0" borderId="0" xfId="0" applyNumberFormat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87" fillId="0" borderId="9" xfId="0" applyFont="1" applyBorder="1" applyAlignment="1">
      <alignment horizontal="center" vertical="top" wrapText="1"/>
    </xf>
    <xf numFmtId="0" fontId="87" fillId="0" borderId="47" xfId="0" applyFont="1" applyBorder="1" applyAlignment="1">
      <alignment horizontal="center" vertical="top" wrapText="1"/>
    </xf>
    <xf numFmtId="0" fontId="9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 wrapText="1"/>
    </xf>
    <xf numFmtId="3" fontId="0" fillId="0" borderId="104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4" xfId="0" applyBorder="1" applyAlignment="1">
      <alignment vertical="top"/>
    </xf>
    <xf numFmtId="0" fontId="0" fillId="0" borderId="104" xfId="0" applyBorder="1" applyAlignment="1">
      <alignment vertical="top" wrapText="1"/>
    </xf>
    <xf numFmtId="3" fontId="0" fillId="0" borderId="104" xfId="0" applyNumberFormat="1" applyBorder="1" applyAlignment="1">
      <alignment horizontal="center" vertical="top" wrapText="1"/>
    </xf>
    <xf numFmtId="1" fontId="0" fillId="0" borderId="104" xfId="0" applyNumberFormat="1" applyBorder="1" applyAlignment="1">
      <alignment vertical="top" wrapText="1"/>
    </xf>
    <xf numFmtId="0" fontId="91" fillId="0" borderId="9" xfId="0" applyFont="1" applyBorder="1" applyAlignment="1">
      <alignment horizontal="left" vertical="top" wrapText="1"/>
    </xf>
    <xf numFmtId="0" fontId="0" fillId="0" borderId="104" xfId="0" applyBorder="1" applyAlignment="1">
      <alignment horizontal="center" vertical="top" wrapText="1"/>
    </xf>
    <xf numFmtId="1" fontId="0" fillId="0" borderId="104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66" fillId="0" borderId="194" xfId="0" applyFont="1" applyBorder="1" applyAlignment="1">
      <alignment readingOrder="1"/>
    </xf>
    <xf numFmtId="0" fontId="78" fillId="0" borderId="180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181" fontId="66" fillId="0" borderId="179" xfId="0" applyNumberFormat="1" applyFont="1" applyBorder="1" applyAlignment="1">
      <alignment readingOrder="1"/>
    </xf>
    <xf numFmtId="181" fontId="66" fillId="0" borderId="102" xfId="0" applyNumberFormat="1" applyFont="1" applyBorder="1" applyAlignment="1">
      <alignment readingOrder="1"/>
    </xf>
    <xf numFmtId="181" fontId="67" fillId="0" borderId="158" xfId="0" applyNumberFormat="1" applyFont="1" applyBorder="1" applyAlignment="1">
      <alignment readingOrder="1"/>
    </xf>
    <xf numFmtId="181" fontId="67" fillId="0" borderId="135" xfId="0" applyNumberFormat="1" applyFont="1" applyBorder="1" applyAlignment="1">
      <alignment readingOrder="1"/>
    </xf>
    <xf numFmtId="181" fontId="67" fillId="0" borderId="156" xfId="0" applyNumberFormat="1" applyFont="1" applyBorder="1" applyAlignment="1">
      <alignment readingOrder="1"/>
    </xf>
    <xf numFmtId="181" fontId="66" fillId="0" borderId="159" xfId="0" applyNumberFormat="1" applyFont="1" applyBorder="1" applyAlignment="1">
      <alignment readingOrder="1"/>
    </xf>
    <xf numFmtId="181" fontId="66" fillId="20" borderId="160" xfId="0" applyNumberFormat="1" applyFont="1" applyFill="1" applyBorder="1" applyAlignment="1">
      <alignment readingOrder="1"/>
    </xf>
    <xf numFmtId="181" fontId="67" fillId="0" borderId="161" xfId="0" applyNumberFormat="1" applyFont="1" applyBorder="1" applyAlignment="1">
      <alignment readingOrder="1"/>
    </xf>
    <xf numFmtId="181" fontId="78" fillId="0" borderId="182" xfId="0" applyNumberFormat="1" applyFont="1" applyBorder="1" applyAlignment="1">
      <alignment readingOrder="1"/>
    </xf>
    <xf numFmtId="181" fontId="78" fillId="0" borderId="161" xfId="0" applyNumberFormat="1" applyFont="1" applyBorder="1" applyAlignment="1">
      <alignment readingOrder="1"/>
    </xf>
    <xf numFmtId="165" fontId="67" fillId="0" borderId="102" xfId="0" applyNumberFormat="1" applyFont="1" applyBorder="1" applyAlignment="1">
      <alignment readingOrder="1"/>
    </xf>
    <xf numFmtId="165" fontId="66" fillId="0" borderId="102" xfId="0" applyNumberFormat="1" applyFont="1" applyBorder="1" applyAlignment="1">
      <alignment readingOrder="1"/>
    </xf>
    <xf numFmtId="165" fontId="78" fillId="0" borderId="162" xfId="0" applyNumberFormat="1" applyFont="1" applyBorder="1" applyAlignment="1">
      <alignment readingOrder="1"/>
    </xf>
    <xf numFmtId="181" fontId="78" fillId="0" borderId="162" xfId="0" applyNumberFormat="1" applyFont="1" applyBorder="1" applyAlignment="1">
      <alignment readingOrder="1"/>
    </xf>
    <xf numFmtId="165" fontId="78" fillId="0" borderId="160" xfId="0" applyNumberFormat="1" applyFont="1" applyBorder="1" applyAlignment="1">
      <alignment readingOrder="1"/>
    </xf>
    <xf numFmtId="181" fontId="78" fillId="0" borderId="159" xfId="0" applyNumberFormat="1" applyFont="1" applyBorder="1" applyAlignment="1">
      <alignment readingOrder="1"/>
    </xf>
    <xf numFmtId="181" fontId="66" fillId="0" borderId="158" xfId="0" applyNumberFormat="1" applyFont="1" applyBorder="1" applyAlignment="1">
      <alignment readingOrder="1"/>
    </xf>
    <xf numFmtId="181" fontId="67" fillId="0" borderId="155" xfId="0" applyNumberFormat="1" applyFont="1" applyBorder="1" applyAlignment="1">
      <alignment readingOrder="1"/>
    </xf>
    <xf numFmtId="181" fontId="66" fillId="0" borderId="155" xfId="0" applyNumberFormat="1" applyFont="1" applyBorder="1" applyAlignment="1">
      <alignment readingOrder="1"/>
    </xf>
    <xf numFmtId="181" fontId="78" fillId="0" borderId="160" xfId="0" applyNumberFormat="1" applyFont="1" applyBorder="1" applyAlignment="1">
      <alignment readingOrder="1"/>
    </xf>
    <xf numFmtId="181" fontId="78" fillId="0" borderId="155" xfId="0" applyNumberFormat="1" applyFont="1" applyBorder="1" applyAlignment="1">
      <alignment readingOrder="1"/>
    </xf>
    <xf numFmtId="10" fontId="0" fillId="0" borderId="9" xfId="0" applyNumberFormat="1" applyBorder="1"/>
    <xf numFmtId="0" fontId="66" fillId="0" borderId="196" xfId="0" applyFont="1" applyBorder="1" applyAlignment="1">
      <alignment readingOrder="1"/>
    </xf>
    <xf numFmtId="0" fontId="0" fillId="0" borderId="1" xfId="0" applyBorder="1"/>
    <xf numFmtId="181" fontId="0" fillId="0" borderId="0" xfId="0" applyNumberFormat="1"/>
    <xf numFmtId="181" fontId="63" fillId="0" borderId="64" xfId="0" applyNumberFormat="1" applyFont="1" applyBorder="1"/>
    <xf numFmtId="181" fontId="63" fillId="0" borderId="103" xfId="0" applyNumberFormat="1" applyFont="1" applyBorder="1"/>
    <xf numFmtId="181" fontId="63" fillId="0" borderId="0" xfId="0" applyNumberFormat="1" applyFont="1"/>
    <xf numFmtId="181" fontId="63" fillId="0" borderId="26" xfId="0" applyNumberFormat="1" applyFont="1" applyBorder="1"/>
    <xf numFmtId="181" fontId="51" fillId="0" borderId="103" xfId="0" applyNumberFormat="1" applyFont="1" applyBorder="1"/>
    <xf numFmtId="181" fontId="63" fillId="0" borderId="113" xfId="0" applyNumberFormat="1" applyFont="1" applyBorder="1"/>
    <xf numFmtId="181" fontId="63" fillId="0" borderId="139" xfId="0" applyNumberFormat="1" applyFont="1" applyBorder="1"/>
    <xf numFmtId="181" fontId="51" fillId="0" borderId="26" xfId="0" applyNumberFormat="1" applyFont="1" applyBorder="1"/>
    <xf numFmtId="0" fontId="71" fillId="0" borderId="15" xfId="0" applyFont="1" applyBorder="1" applyAlignment="1">
      <alignment horizontal="center"/>
    </xf>
    <xf numFmtId="180" fontId="71" fillId="0" borderId="102" xfId="0" applyNumberFormat="1" applyFont="1" applyBorder="1" applyAlignment="1">
      <alignment horizontal="center"/>
    </xf>
    <xf numFmtId="168" fontId="71" fillId="0" borderId="102" xfId="0" applyNumberFormat="1" applyFont="1" applyBorder="1" applyAlignment="1">
      <alignment horizontal="center"/>
    </xf>
    <xf numFmtId="0" fontId="68" fillId="28" borderId="15" xfId="0" applyFont="1" applyFill="1" applyBorder="1" applyAlignment="1">
      <alignment horizontal="center"/>
    </xf>
    <xf numFmtId="180" fontId="68" fillId="27" borderId="102" xfId="0" applyNumberFormat="1" applyFont="1" applyFill="1" applyBorder="1" applyAlignment="1">
      <alignment horizontal="center"/>
    </xf>
    <xf numFmtId="168" fontId="68" fillId="27" borderId="102" xfId="0" applyNumberFormat="1" applyFont="1" applyFill="1" applyBorder="1" applyAlignment="1">
      <alignment horizontal="center"/>
    </xf>
    <xf numFmtId="9" fontId="51" fillId="0" borderId="42" xfId="0" applyNumberFormat="1" applyFont="1" applyBorder="1"/>
    <xf numFmtId="184" fontId="51" fillId="0" borderId="79" xfId="0" applyNumberFormat="1" applyFont="1" applyBorder="1"/>
    <xf numFmtId="184" fontId="51" fillId="0" borderId="148" xfId="0" applyNumberFormat="1" applyFont="1" applyBorder="1"/>
    <xf numFmtId="0" fontId="15" fillId="25" borderId="197" xfId="0" applyFont="1" applyFill="1" applyBorder="1"/>
    <xf numFmtId="0" fontId="15" fillId="29" borderId="101" xfId="0" applyFont="1" applyFill="1" applyBorder="1"/>
    <xf numFmtId="0" fontId="79" fillId="0" borderId="0" xfId="0" quotePrefix="1" applyFont="1"/>
    <xf numFmtId="168" fontId="4" fillId="0" borderId="9" xfId="0" applyNumberFormat="1" applyFont="1" applyBorder="1" applyAlignment="1">
      <alignment horizontal="center"/>
    </xf>
    <xf numFmtId="181" fontId="66" fillId="0" borderId="9" xfId="0" applyNumberFormat="1" applyFont="1" applyBorder="1" applyAlignment="1">
      <alignment readingOrder="1"/>
    </xf>
    <xf numFmtId="10" fontId="66" fillId="0" borderId="9" xfId="0" applyNumberFormat="1" applyFont="1" applyBorder="1" applyAlignment="1">
      <alignment readingOrder="1"/>
    </xf>
    <xf numFmtId="0" fontId="78" fillId="0" borderId="103" xfId="0" applyFont="1" applyBorder="1" applyAlignment="1">
      <alignment readingOrder="1"/>
    </xf>
    <xf numFmtId="184" fontId="71" fillId="0" borderId="111" xfId="0" applyNumberFormat="1" applyFont="1" applyBorder="1"/>
    <xf numFmtId="181" fontId="0" fillId="0" borderId="3" xfId="0" applyNumberFormat="1" applyBorder="1"/>
    <xf numFmtId="10" fontId="51" fillId="0" borderId="79" xfId="0" applyNumberFormat="1" applyFont="1" applyBorder="1"/>
    <xf numFmtId="0" fontId="93" fillId="0" borderId="103" xfId="0" applyFont="1" applyBorder="1"/>
    <xf numFmtId="0" fontId="93" fillId="0" borderId="0" xfId="0" applyFont="1"/>
    <xf numFmtId="0" fontId="2" fillId="0" borderId="103" xfId="0" applyFont="1" applyBorder="1"/>
    <xf numFmtId="0" fontId="2" fillId="0" borderId="198" xfId="0" applyFont="1" applyBorder="1"/>
    <xf numFmtId="0" fontId="2" fillId="0" borderId="199" xfId="0" applyFont="1" applyBorder="1"/>
    <xf numFmtId="0" fontId="2" fillId="0" borderId="200" xfId="0" applyFont="1" applyBorder="1"/>
    <xf numFmtId="0" fontId="2" fillId="0" borderId="201" xfId="0" applyFont="1" applyBorder="1"/>
    <xf numFmtId="0" fontId="2" fillId="0" borderId="202" xfId="0" applyFont="1" applyBorder="1"/>
    <xf numFmtId="8" fontId="2" fillId="0" borderId="202" xfId="0" applyNumberFormat="1" applyFont="1" applyBorder="1"/>
    <xf numFmtId="8" fontId="2" fillId="0" borderId="203" xfId="0" applyNumberFormat="1" applyFont="1" applyBorder="1"/>
    <xf numFmtId="0" fontId="2" fillId="0" borderId="204" xfId="0" applyFont="1" applyBorder="1"/>
    <xf numFmtId="8" fontId="2" fillId="0" borderId="205" xfId="0" applyNumberFormat="1" applyFont="1" applyBorder="1"/>
    <xf numFmtId="8" fontId="65" fillId="0" borderId="103" xfId="0" applyNumberFormat="1" applyFont="1" applyBorder="1"/>
    <xf numFmtId="184" fontId="51" fillId="0" borderId="93" xfId="0" applyNumberFormat="1" applyFont="1" applyBorder="1"/>
    <xf numFmtId="184" fontId="51" fillId="0" borderId="111" xfId="0" applyNumberFormat="1" applyFont="1" applyBorder="1"/>
    <xf numFmtId="181" fontId="78" fillId="0" borderId="103" xfId="0" applyNumberFormat="1" applyFont="1" applyBorder="1" applyAlignment="1">
      <alignment readingOrder="1"/>
    </xf>
    <xf numFmtId="0" fontId="68" fillId="0" borderId="9" xfId="0" applyFont="1" applyBorder="1"/>
    <xf numFmtId="0" fontId="68" fillId="0" borderId="69" xfId="0" applyFont="1" applyBorder="1"/>
    <xf numFmtId="0" fontId="77" fillId="0" borderId="103" xfId="0" applyFont="1" applyBorder="1"/>
    <xf numFmtId="0" fontId="68" fillId="0" borderId="15" xfId="0" applyFont="1" applyBorder="1"/>
    <xf numFmtId="0" fontId="71" fillId="0" borderId="102" xfId="0" applyFont="1" applyBorder="1"/>
    <xf numFmtId="0" fontId="71" fillId="0" borderId="15" xfId="0" applyFont="1" applyBorder="1"/>
    <xf numFmtId="0" fontId="68" fillId="0" borderId="0" xfId="0" applyFont="1"/>
    <xf numFmtId="10" fontId="4" fillId="6" borderId="26" xfId="0" applyNumberFormat="1" applyFont="1" applyFill="1" applyBorder="1"/>
    <xf numFmtId="181" fontId="71" fillId="0" borderId="102" xfId="0" applyNumberFormat="1" applyFont="1" applyBorder="1"/>
    <xf numFmtId="181" fontId="68" fillId="0" borderId="9" xfId="0" applyNumberFormat="1" applyFont="1" applyBorder="1"/>
    <xf numFmtId="14" fontId="51" fillId="0" borderId="56" xfId="0" applyNumberFormat="1" applyFont="1" applyBorder="1" applyAlignment="1">
      <alignment horizontal="left"/>
    </xf>
    <xf numFmtId="14" fontId="66" fillId="0" borderId="195" xfId="0" applyNumberFormat="1" applyFont="1" applyBorder="1" applyAlignment="1">
      <alignment horizontal="left" readingOrder="1"/>
    </xf>
    <xf numFmtId="14" fontId="66" fillId="0" borderId="196" xfId="0" applyNumberFormat="1" applyFont="1" applyBorder="1" applyAlignment="1">
      <alignment horizontal="left" readingOrder="1"/>
    </xf>
    <xf numFmtId="181" fontId="66" fillId="0" borderId="103" xfId="0" applyNumberFormat="1" applyFont="1" applyBorder="1" applyAlignment="1">
      <alignment readingOrder="1"/>
    </xf>
    <xf numFmtId="0" fontId="94" fillId="4" borderId="101" xfId="0" applyFont="1" applyFill="1" applyBorder="1" applyAlignment="1">
      <alignment horizontal="center"/>
    </xf>
    <xf numFmtId="0" fontId="70" fillId="0" borderId="101" xfId="0" applyFont="1" applyBorder="1" applyAlignment="1">
      <alignment horizontal="center"/>
    </xf>
    <xf numFmtId="181" fontId="77" fillId="0" borderId="93" xfId="0" applyNumberFormat="1" applyFont="1" applyBorder="1"/>
    <xf numFmtId="0" fontId="95" fillId="30" borderId="0" xfId="0" applyFont="1" applyFill="1"/>
    <xf numFmtId="0" fontId="0" fillId="30" borderId="0" xfId="0" applyFill="1"/>
    <xf numFmtId="181" fontId="66" fillId="15" borderId="179" xfId="0" applyNumberFormat="1" applyFont="1" applyFill="1" applyBorder="1" applyAlignment="1">
      <alignment readingOrder="1"/>
    </xf>
    <xf numFmtId="181" fontId="51" fillId="31" borderId="93" xfId="0" applyNumberFormat="1" applyFont="1" applyFill="1" applyBorder="1"/>
    <xf numFmtId="0" fontId="63" fillId="0" borderId="208" xfId="0" applyFont="1" applyBorder="1"/>
    <xf numFmtId="0" fontId="63" fillId="0" borderId="209" xfId="0" applyFont="1" applyBorder="1"/>
    <xf numFmtId="185" fontId="51" fillId="0" borderId="208" xfId="0" applyNumberFormat="1" applyFont="1" applyBorder="1"/>
    <xf numFmtId="10" fontId="51" fillId="0" borderId="209" xfId="0" applyNumberFormat="1" applyFont="1" applyBorder="1"/>
    <xf numFmtId="185" fontId="63" fillId="0" borderId="210" xfId="0" applyNumberFormat="1" applyFont="1" applyBorder="1"/>
    <xf numFmtId="10" fontId="63" fillId="0" borderId="20" xfId="0" applyNumberFormat="1" applyFont="1" applyBorder="1"/>
    <xf numFmtId="0" fontId="63" fillId="0" borderId="90" xfId="0" applyFont="1" applyBorder="1"/>
    <xf numFmtId="0" fontId="51" fillId="0" borderId="90" xfId="0" applyFont="1" applyBorder="1"/>
    <xf numFmtId="0" fontId="63" fillId="0" borderId="211" xfId="0" applyFont="1" applyBorder="1"/>
    <xf numFmtId="10" fontId="51" fillId="0" borderId="148" xfId="0" applyNumberFormat="1" applyFont="1" applyBorder="1"/>
    <xf numFmtId="0" fontId="63" fillId="0" borderId="18" xfId="0" applyFont="1" applyBorder="1"/>
    <xf numFmtId="0" fontId="63" fillId="0" borderId="19" xfId="0" applyFont="1" applyBorder="1"/>
    <xf numFmtId="0" fontId="63" fillId="0" borderId="20" xfId="0" applyFont="1" applyBorder="1"/>
    <xf numFmtId="10" fontId="74" fillId="0" borderId="213" xfId="0" applyNumberFormat="1" applyFont="1" applyBorder="1"/>
    <xf numFmtId="0" fontId="74" fillId="0" borderId="213" xfId="0" applyFont="1" applyBorder="1"/>
    <xf numFmtId="185" fontId="64" fillId="0" borderId="208" xfId="0" applyNumberFormat="1" applyFont="1" applyBorder="1"/>
    <xf numFmtId="0" fontId="51" fillId="0" borderId="208" xfId="0" applyFont="1" applyBorder="1"/>
    <xf numFmtId="10" fontId="63" fillId="0" borderId="19" xfId="0" applyNumberFormat="1" applyFont="1" applyBorder="1"/>
    <xf numFmtId="185" fontId="63" fillId="0" borderId="214" xfId="0" applyNumberFormat="1" applyFont="1" applyBorder="1"/>
    <xf numFmtId="0" fontId="71" fillId="0" borderId="0" xfId="0" applyFont="1"/>
    <xf numFmtId="10" fontId="71" fillId="0" borderId="0" xfId="0" applyNumberFormat="1" applyFont="1" applyAlignment="1">
      <alignment horizontal="center" vertical="center"/>
    </xf>
    <xf numFmtId="10" fontId="71" fillId="21" borderId="0" xfId="0" applyNumberFormat="1" applyFont="1" applyFill="1" applyAlignment="1">
      <alignment horizontal="center" vertical="center"/>
    </xf>
    <xf numFmtId="181" fontId="51" fillId="21" borderId="93" xfId="0" applyNumberFormat="1" applyFont="1" applyFill="1" applyBorder="1"/>
    <xf numFmtId="181" fontId="51" fillId="15" borderId="93" xfId="0" applyNumberFormat="1" applyFont="1" applyFill="1" applyBorder="1"/>
    <xf numFmtId="181" fontId="51" fillId="15" borderId="111" xfId="0" applyNumberFormat="1" applyFont="1" applyFill="1" applyBorder="1"/>
    <xf numFmtId="0" fontId="68" fillId="0" borderId="69" xfId="0" applyFont="1" applyBorder="1" applyAlignment="1">
      <alignment wrapText="1"/>
    </xf>
    <xf numFmtId="8" fontId="71" fillId="0" borderId="102" xfId="0" applyNumberFormat="1" applyFont="1" applyBorder="1"/>
    <xf numFmtId="0" fontId="62" fillId="9" borderId="102" xfId="0" applyFont="1" applyFill="1" applyBorder="1"/>
    <xf numFmtId="8" fontId="68" fillId="0" borderId="102" xfId="0" applyNumberFormat="1" applyFont="1" applyBorder="1"/>
    <xf numFmtId="181" fontId="51" fillId="18" borderId="93" xfId="0" applyNumberFormat="1" applyFont="1" applyFill="1" applyBorder="1"/>
    <xf numFmtId="181" fontId="51" fillId="18" borderId="111" xfId="0" applyNumberFormat="1" applyFont="1" applyFill="1" applyBorder="1"/>
    <xf numFmtId="181" fontId="63" fillId="0" borderId="149" xfId="0" applyNumberFormat="1" applyFont="1" applyBorder="1"/>
    <xf numFmtId="181" fontId="63" fillId="0" borderId="74" xfId="0" applyNumberFormat="1" applyFont="1" applyBorder="1"/>
    <xf numFmtId="181" fontId="63" fillId="18" borderId="93" xfId="0" applyNumberFormat="1" applyFont="1" applyFill="1" applyBorder="1"/>
    <xf numFmtId="181" fontId="51" fillId="18" borderId="50" xfId="0" applyNumberFormat="1" applyFont="1" applyFill="1" applyBorder="1"/>
    <xf numFmtId="0" fontId="63" fillId="21" borderId="163" xfId="0" applyFont="1" applyFill="1" applyBorder="1"/>
    <xf numFmtId="0" fontId="0" fillId="21" borderId="0" xfId="0" applyFill="1"/>
    <xf numFmtId="184" fontId="51" fillId="18" borderId="93" xfId="0" applyNumberFormat="1" applyFont="1" applyFill="1" applyBorder="1"/>
    <xf numFmtId="181" fontId="51" fillId="18" borderId="113" xfId="0" applyNumberFormat="1" applyFont="1" applyFill="1" applyBorder="1"/>
    <xf numFmtId="168" fontId="4" fillId="31" borderId="58" xfId="0" applyNumberFormat="1" applyFont="1" applyFill="1" applyBorder="1" applyAlignment="1">
      <alignment horizontal="center"/>
    </xf>
    <xf numFmtId="168" fontId="4" fillId="31" borderId="61" xfId="0" applyNumberFormat="1" applyFont="1" applyFill="1" applyBorder="1" applyAlignment="1">
      <alignment horizontal="center"/>
    </xf>
    <xf numFmtId="0" fontId="4" fillId="20" borderId="88" xfId="0" applyFont="1" applyFill="1" applyBorder="1"/>
    <xf numFmtId="8" fontId="71" fillId="9" borderId="9" xfId="0" applyNumberFormat="1" applyFont="1" applyFill="1" applyBorder="1"/>
    <xf numFmtId="0" fontId="62" fillId="9" borderId="9" xfId="0" applyFont="1" applyFill="1" applyBorder="1"/>
    <xf numFmtId="0" fontId="71" fillId="0" borderId="136" xfId="0" applyFont="1" applyBorder="1"/>
    <xf numFmtId="8" fontId="71" fillId="0" borderId="135" xfId="0" applyNumberFormat="1" applyFont="1" applyBorder="1"/>
    <xf numFmtId="168" fontId="3" fillId="0" borderId="58" xfId="0" applyNumberFormat="1" applyFont="1" applyBorder="1" applyAlignment="1">
      <alignment horizontal="right"/>
    </xf>
    <xf numFmtId="168" fontId="3" fillId="0" borderId="86" xfId="0" applyNumberFormat="1" applyFont="1" applyBorder="1" applyAlignment="1">
      <alignment horizontal="right"/>
    </xf>
    <xf numFmtId="181" fontId="51" fillId="21" borderId="74" xfId="0" applyNumberFormat="1" applyFont="1" applyFill="1" applyBorder="1"/>
    <xf numFmtId="0" fontId="71" fillId="0" borderId="46" xfId="0" applyFont="1" applyBorder="1"/>
    <xf numFmtId="0" fontId="68" fillId="0" borderId="47" xfId="0" applyFont="1" applyBorder="1" applyAlignment="1">
      <alignment wrapText="1"/>
    </xf>
    <xf numFmtId="181" fontId="51" fillId="20" borderId="95" xfId="0" applyNumberFormat="1" applyFont="1" applyFill="1" applyBorder="1"/>
    <xf numFmtId="0" fontId="96" fillId="0" borderId="56" xfId="0" applyFont="1" applyBorder="1"/>
    <xf numFmtId="181" fontId="64" fillId="18" borderId="93" xfId="0" applyNumberFormat="1" applyFont="1" applyFill="1" applyBorder="1"/>
    <xf numFmtId="181" fontId="64" fillId="18" borderId="111" xfId="0" applyNumberFormat="1" applyFont="1" applyFill="1" applyBorder="1"/>
    <xf numFmtId="181" fontId="71" fillId="18" borderId="58" xfId="0" applyNumberFormat="1" applyFont="1" applyFill="1" applyBorder="1"/>
    <xf numFmtId="181" fontId="71" fillId="18" borderId="74" xfId="0" applyNumberFormat="1" applyFont="1" applyFill="1" applyBorder="1"/>
    <xf numFmtId="0" fontId="96" fillId="0" borderId="112" xfId="0" applyFont="1" applyBorder="1"/>
    <xf numFmtId="181" fontId="64" fillId="31" borderId="113" xfId="0" applyNumberFormat="1" applyFont="1" applyFill="1" applyBorder="1"/>
    <xf numFmtId="0" fontId="97" fillId="0" borderId="0" xfId="0" quotePrefix="1" applyFont="1"/>
    <xf numFmtId="0" fontId="97" fillId="0" borderId="103" xfId="0" quotePrefix="1" applyFont="1" applyBorder="1"/>
    <xf numFmtId="184" fontId="0" fillId="0" borderId="0" xfId="0" applyNumberFormat="1"/>
    <xf numFmtId="9" fontId="51" fillId="0" borderId="103" xfId="0" applyNumberFormat="1" applyFont="1" applyBorder="1"/>
    <xf numFmtId="184" fontId="51" fillId="0" borderId="42" xfId="0" applyNumberFormat="1" applyFont="1" applyBorder="1"/>
    <xf numFmtId="0" fontId="3" fillId="20" borderId="58" xfId="0" applyFont="1" applyFill="1" applyBorder="1"/>
    <xf numFmtId="8" fontId="3" fillId="20" borderId="95" xfId="0" applyNumberFormat="1" applyFont="1" applyFill="1" applyBorder="1"/>
    <xf numFmtId="168" fontId="4" fillId="20" borderId="58" xfId="0" applyNumberFormat="1" applyFont="1" applyFill="1" applyBorder="1" applyAlignment="1">
      <alignment horizontal="center"/>
    </xf>
    <xf numFmtId="0" fontId="4" fillId="22" borderId="134" xfId="0" applyFont="1" applyFill="1" applyBorder="1" applyAlignment="1">
      <alignment horizontal="center"/>
    </xf>
    <xf numFmtId="0" fontId="4" fillId="22" borderId="103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2" fillId="22" borderId="2" xfId="0" applyFont="1" applyFill="1" applyBorder="1"/>
    <xf numFmtId="0" fontId="2" fillId="22" borderId="3" xfId="0" applyFont="1" applyFill="1" applyBorder="1"/>
    <xf numFmtId="0" fontId="3" fillId="22" borderId="4" xfId="0" applyFont="1" applyFill="1" applyBorder="1" applyAlignment="1">
      <alignment horizontal="center"/>
    </xf>
    <xf numFmtId="0" fontId="3" fillId="22" borderId="5" xfId="0" applyFont="1" applyFill="1" applyBorder="1" applyAlignment="1">
      <alignment horizontal="center"/>
    </xf>
    <xf numFmtId="0" fontId="3" fillId="2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0" applyFont="1" applyFill="1" applyBorder="1" applyAlignment="1">
      <alignment horizontal="left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14" borderId="38" xfId="0" applyFill="1" applyBorder="1"/>
    <xf numFmtId="0" fontId="0" fillId="14" borderId="39" xfId="0" applyFill="1" applyBorder="1"/>
    <xf numFmtId="0" fontId="0" fillId="14" borderId="40" xfId="0" applyFill="1" applyBorder="1"/>
    <xf numFmtId="0" fontId="4" fillId="6" borderId="38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13" fillId="4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4" fillId="4" borderId="30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0" fillId="0" borderId="0" xfId="0"/>
    <xf numFmtId="0" fontId="2" fillId="0" borderId="34" xfId="0" applyFont="1" applyBorder="1"/>
    <xf numFmtId="0" fontId="15" fillId="4" borderId="27" xfId="0" applyFont="1" applyFill="1" applyBorder="1" applyAlignment="1">
      <alignment horizontal="left" vertical="center"/>
    </xf>
    <xf numFmtId="0" fontId="1" fillId="22" borderId="43" xfId="0" applyFont="1" applyFill="1" applyBorder="1" applyAlignment="1">
      <alignment horizontal="center"/>
    </xf>
    <xf numFmtId="0" fontId="1" fillId="22" borderId="44" xfId="0" applyFont="1" applyFill="1" applyBorder="1" applyAlignment="1">
      <alignment horizontal="center"/>
    </xf>
    <xf numFmtId="0" fontId="1" fillId="22" borderId="45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 vertical="top"/>
    </xf>
    <xf numFmtId="0" fontId="17" fillId="22" borderId="2" xfId="0" applyFont="1" applyFill="1" applyBorder="1" applyAlignment="1">
      <alignment horizontal="center" vertical="top"/>
    </xf>
    <xf numFmtId="0" fontId="17" fillId="22" borderId="3" xfId="0" applyFont="1" applyFill="1" applyBorder="1" applyAlignment="1">
      <alignment horizontal="center" vertical="top"/>
    </xf>
    <xf numFmtId="0" fontId="17" fillId="22" borderId="1" xfId="0" applyFont="1" applyFill="1" applyBorder="1" applyAlignment="1">
      <alignment horizontal="center"/>
    </xf>
    <xf numFmtId="0" fontId="17" fillId="22" borderId="2" xfId="0" applyFont="1" applyFill="1" applyBorder="1" applyAlignment="1">
      <alignment horizontal="center"/>
    </xf>
    <xf numFmtId="0" fontId="17" fillId="22" borderId="3" xfId="0" applyFont="1" applyFill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2" fillId="0" borderId="72" xfId="0" applyFont="1" applyBorder="1"/>
    <xf numFmtId="0" fontId="2" fillId="0" borderId="69" xfId="0" applyFont="1" applyBorder="1"/>
    <xf numFmtId="0" fontId="2" fillId="22" borderId="44" xfId="0" applyFont="1" applyFill="1" applyBorder="1"/>
    <xf numFmtId="0" fontId="2" fillId="22" borderId="45" xfId="0" applyFont="1" applyFill="1" applyBorder="1"/>
    <xf numFmtId="0" fontId="30" fillId="8" borderId="1" xfId="0" applyFont="1" applyFill="1" applyBorder="1" applyAlignment="1">
      <alignment horizontal="center" wrapText="1"/>
    </xf>
    <xf numFmtId="0" fontId="30" fillId="8" borderId="2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  <xf numFmtId="0" fontId="2" fillId="22" borderId="5" xfId="0" applyFont="1" applyFill="1" applyBorder="1"/>
    <xf numFmtId="0" fontId="2" fillId="22" borderId="6" xfId="0" applyFont="1" applyFill="1" applyBorder="1"/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17" borderId="43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71" fontId="3" fillId="0" borderId="65" xfId="0" applyNumberFormat="1" applyFont="1" applyBorder="1" applyAlignment="1">
      <alignment horizontal="center" vertical="center"/>
    </xf>
    <xf numFmtId="171" fontId="3" fillId="0" borderId="66" xfId="0" applyNumberFormat="1" applyFont="1" applyBorder="1" applyAlignment="1">
      <alignment horizontal="center" vertical="center"/>
    </xf>
    <xf numFmtId="171" fontId="3" fillId="0" borderId="67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" fillId="0" borderId="60" xfId="0" applyFont="1" applyBorder="1"/>
    <xf numFmtId="0" fontId="28" fillId="0" borderId="73" xfId="0" applyFont="1" applyBorder="1" applyAlignment="1">
      <alignment horizontal="center"/>
    </xf>
    <xf numFmtId="0" fontId="28" fillId="0" borderId="123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44" fillId="0" borderId="46" xfId="0" applyFont="1" applyBorder="1"/>
    <xf numFmtId="0" fontId="15" fillId="4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6" fillId="0" borderId="151" xfId="0" applyFont="1" applyBorder="1" applyAlignment="1">
      <alignment readingOrder="1"/>
    </xf>
    <xf numFmtId="0" fontId="66" fillId="0" borderId="152" xfId="0" applyFont="1" applyBorder="1" applyAlignment="1">
      <alignment readingOrder="1"/>
    </xf>
    <xf numFmtId="0" fontId="66" fillId="0" borderId="153" xfId="0" applyFont="1" applyBorder="1" applyAlignment="1">
      <alignment readingOrder="1"/>
    </xf>
    <xf numFmtId="0" fontId="78" fillId="0" borderId="167" xfId="0" applyFont="1" applyBorder="1" applyAlignment="1">
      <alignment wrapText="1" readingOrder="1"/>
    </xf>
    <xf numFmtId="0" fontId="78" fillId="0" borderId="168" xfId="0" applyFont="1" applyBorder="1" applyAlignment="1">
      <alignment wrapText="1" readingOrder="1"/>
    </xf>
    <xf numFmtId="0" fontId="78" fillId="0" borderId="169" xfId="0" applyFont="1" applyBorder="1" applyAlignment="1">
      <alignment wrapText="1" readingOrder="1"/>
    </xf>
    <xf numFmtId="0" fontId="78" fillId="0" borderId="170" xfId="0" applyFont="1" applyBorder="1" applyAlignment="1">
      <alignment wrapText="1" readingOrder="1"/>
    </xf>
    <xf numFmtId="0" fontId="78" fillId="0" borderId="171" xfId="0" applyFont="1" applyBorder="1" applyAlignment="1">
      <alignment wrapText="1" readingOrder="1"/>
    </xf>
    <xf numFmtId="0" fontId="78" fillId="0" borderId="172" xfId="0" applyFont="1" applyBorder="1" applyAlignment="1">
      <alignment wrapText="1" readingOrder="1"/>
    </xf>
    <xf numFmtId="0" fontId="78" fillId="0" borderId="173" xfId="0" applyFont="1" applyBorder="1" applyAlignment="1">
      <alignment wrapText="1" readingOrder="1"/>
    </xf>
    <xf numFmtId="0" fontId="78" fillId="0" borderId="174" xfId="0" applyFont="1" applyBorder="1" applyAlignment="1">
      <alignment wrapText="1" readingOrder="1"/>
    </xf>
    <xf numFmtId="0" fontId="78" fillId="0" borderId="175" xfId="0" applyFont="1" applyBorder="1" applyAlignment="1">
      <alignment wrapText="1" readingOrder="1"/>
    </xf>
    <xf numFmtId="0" fontId="78" fillId="0" borderId="176" xfId="0" applyFont="1" applyBorder="1" applyAlignment="1">
      <alignment wrapText="1" readingOrder="1"/>
    </xf>
    <xf numFmtId="0" fontId="78" fillId="0" borderId="177" xfId="0" applyFont="1" applyBorder="1" applyAlignment="1">
      <alignment wrapText="1" readingOrder="1"/>
    </xf>
    <xf numFmtId="0" fontId="78" fillId="0" borderId="180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0" fontId="78" fillId="0" borderId="184" xfId="0" applyFont="1" applyBorder="1" applyAlignment="1">
      <alignment readingOrder="1"/>
    </xf>
    <xf numFmtId="0" fontId="78" fillId="0" borderId="185" xfId="0" applyFont="1" applyBorder="1" applyAlignment="1">
      <alignment readingOrder="1"/>
    </xf>
    <xf numFmtId="0" fontId="75" fillId="23" borderId="0" xfId="0" applyFont="1" applyFill="1" applyAlignment="1">
      <alignment readingOrder="1"/>
    </xf>
    <xf numFmtId="0" fontId="75" fillId="23" borderId="103" xfId="0" applyFont="1" applyFill="1" applyBorder="1" applyAlignment="1">
      <alignment readingOrder="1"/>
    </xf>
    <xf numFmtId="0" fontId="72" fillId="0" borderId="0" xfId="0" applyFont="1" applyAlignment="1">
      <alignment horizontal="center"/>
    </xf>
    <xf numFmtId="18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92" fillId="0" borderId="0" xfId="0" applyFont="1" applyAlignment="1">
      <alignment horizontal="center" readingOrder="1"/>
    </xf>
    <xf numFmtId="0" fontId="87" fillId="0" borderId="71" xfId="0" applyFont="1" applyBorder="1" applyAlignment="1">
      <alignment horizontal="left" vertical="top" wrapText="1"/>
    </xf>
    <xf numFmtId="0" fontId="0" fillId="0" borderId="135" xfId="0" applyBorder="1" applyAlignment="1">
      <alignment horizontal="left" vertical="center" wrapText="1"/>
    </xf>
    <xf numFmtId="0" fontId="86" fillId="0" borderId="0" xfId="0" applyFont="1" applyAlignment="1">
      <alignment horizontal="left" vertical="top" wrapText="1" indent="2"/>
    </xf>
    <xf numFmtId="0" fontId="87" fillId="0" borderId="0" xfId="0" applyFont="1" applyAlignment="1">
      <alignment horizontal="left" vertical="top" wrapText="1" indent="2"/>
    </xf>
    <xf numFmtId="0" fontId="0" fillId="26" borderId="0" xfId="0" applyFill="1" applyAlignment="1">
      <alignment horizontal="center" vertical="center" wrapText="1"/>
    </xf>
    <xf numFmtId="0" fontId="87" fillId="0" borderId="0" xfId="0" applyFont="1" applyAlignment="1">
      <alignment horizontal="center" vertical="top" wrapText="1"/>
    </xf>
    <xf numFmtId="0" fontId="87" fillId="0" borderId="0" xfId="0" applyFont="1" applyAlignment="1">
      <alignment horizontal="left" vertical="top" wrapText="1"/>
    </xf>
    <xf numFmtId="0" fontId="63" fillId="0" borderId="206" xfId="0" applyFont="1" applyBorder="1" applyAlignment="1">
      <alignment horizontal="center" vertical="center"/>
    </xf>
    <xf numFmtId="0" fontId="63" fillId="0" borderId="212" xfId="0" applyFont="1" applyBorder="1" applyAlignment="1">
      <alignment horizontal="center" vertical="center"/>
    </xf>
    <xf numFmtId="0" fontId="63" fillId="0" borderId="207" xfId="0" applyFont="1" applyBorder="1" applyAlignment="1">
      <alignment horizontal="center" vertical="center"/>
    </xf>
    <xf numFmtId="0" fontId="73" fillId="0" borderId="146" xfId="0" applyFont="1" applyBorder="1" applyAlignment="1">
      <alignment horizontal="center"/>
    </xf>
    <xf numFmtId="0" fontId="73" fillId="0" borderId="113" xfId="0" applyFont="1" applyBorder="1" applyAlignment="1">
      <alignment horizontal="center"/>
    </xf>
    <xf numFmtId="0" fontId="68" fillId="27" borderId="47" xfId="0" applyFont="1" applyFill="1" applyBorder="1" applyAlignment="1">
      <alignment horizontal="center"/>
    </xf>
    <xf numFmtId="0" fontId="77" fillId="0" borderId="15" xfId="0" applyFont="1" applyBorder="1"/>
    <xf numFmtId="0" fontId="68" fillId="27" borderId="110" xfId="0" applyFont="1" applyFill="1" applyBorder="1" applyAlignment="1">
      <alignment horizontal="center" wrapText="1"/>
    </xf>
    <xf numFmtId="0" fontId="77" fillId="0" borderId="102" xfId="0" applyFont="1" applyBorder="1"/>
    <xf numFmtId="0" fontId="73" fillId="0" borderId="103" xfId="0" applyFont="1" applyBorder="1" applyAlignment="1">
      <alignment horizontal="center"/>
    </xf>
    <xf numFmtId="0" fontId="73" fillId="0" borderId="144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4" fillId="0" borderId="91" xfId="0" applyFont="1" applyBorder="1" applyAlignment="1">
      <alignment horizontal="center"/>
    </xf>
    <xf numFmtId="0" fontId="84" fillId="25" borderId="27" xfId="0" applyFont="1" applyFill="1" applyBorder="1"/>
    <xf numFmtId="0" fontId="84" fillId="25" borderId="29" xfId="0" applyFont="1" applyFill="1" applyBorder="1"/>
    <xf numFmtId="0" fontId="49" fillId="12" borderId="46" xfId="0" applyFont="1" applyFill="1" applyBorder="1" applyAlignment="1">
      <alignment horizontal="center"/>
    </xf>
  </cellXfs>
  <cellStyles count="5">
    <cellStyle name="Hipervínculo 2" xfId="2" xr:uid="{93B67021-40E7-46F5-8D15-C0DB2F4C265F}"/>
    <cellStyle name="Hyperlink" xfId="3" xr:uid="{00000000-000B-0000-0000-000008000000}"/>
    <cellStyle name="Normal" xfId="0" builtinId="0"/>
    <cellStyle name="Normal 2" xfId="1" xr:uid="{86CECBAA-0693-46B3-8B4C-CB69F6E5EDB6}"/>
    <cellStyle name="Porcentaje" xfId="4" builtinId="5"/>
  </cellStyles>
  <dxfs count="20"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'E-Costos'!$D$166:$D$186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81506250</c:v>
                </c:pt>
                <c:pt idx="2">
                  <c:v>163012500</c:v>
                </c:pt>
                <c:pt idx="3">
                  <c:v>244518750</c:v>
                </c:pt>
                <c:pt idx="4">
                  <c:v>326025000</c:v>
                </c:pt>
                <c:pt idx="5">
                  <c:v>407531250</c:v>
                </c:pt>
                <c:pt idx="6">
                  <c:v>489037500</c:v>
                </c:pt>
                <c:pt idx="7">
                  <c:v>570543750</c:v>
                </c:pt>
                <c:pt idx="8">
                  <c:v>652050000</c:v>
                </c:pt>
                <c:pt idx="9">
                  <c:v>733556250</c:v>
                </c:pt>
                <c:pt idx="10">
                  <c:v>815062500</c:v>
                </c:pt>
                <c:pt idx="11">
                  <c:v>896568750.00000012</c:v>
                </c:pt>
                <c:pt idx="12">
                  <c:v>978075000</c:v>
                </c:pt>
                <c:pt idx="13">
                  <c:v>1059581250</c:v>
                </c:pt>
                <c:pt idx="14">
                  <c:v>1141087500</c:v>
                </c:pt>
                <c:pt idx="15">
                  <c:v>1222593750</c:v>
                </c:pt>
                <c:pt idx="16">
                  <c:v>1304100000</c:v>
                </c:pt>
                <c:pt idx="17">
                  <c:v>1385606250</c:v>
                </c:pt>
                <c:pt idx="18">
                  <c:v>1467112500</c:v>
                </c:pt>
                <c:pt idx="19">
                  <c:v>1548618750</c:v>
                </c:pt>
                <c:pt idx="20">
                  <c:v>1630125000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4-48C3-99AE-99F8DA1DDC0C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'E-Costos'!$E$165:$E$186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132722580.98652369</c:v>
                </c:pt>
                <c:pt idx="2">
                  <c:v>132722580.98652369</c:v>
                </c:pt>
                <c:pt idx="3">
                  <c:v>132722580.98652369</c:v>
                </c:pt>
                <c:pt idx="4">
                  <c:v>132722580.98652369</c:v>
                </c:pt>
                <c:pt idx="5">
                  <c:v>132722580.98652369</c:v>
                </c:pt>
                <c:pt idx="6">
                  <c:v>132722580.98652369</c:v>
                </c:pt>
                <c:pt idx="7">
                  <c:v>132722580.98652369</c:v>
                </c:pt>
                <c:pt idx="8">
                  <c:v>132722580.98652369</c:v>
                </c:pt>
                <c:pt idx="9">
                  <c:v>132722580.98652369</c:v>
                </c:pt>
                <c:pt idx="10">
                  <c:v>132722580.98652369</c:v>
                </c:pt>
                <c:pt idx="11">
                  <c:v>132722580.98652369</c:v>
                </c:pt>
                <c:pt idx="12">
                  <c:v>132722580.98652369</c:v>
                </c:pt>
                <c:pt idx="13">
                  <c:v>132722580.98652369</c:v>
                </c:pt>
                <c:pt idx="14">
                  <c:v>132722580.98652369</c:v>
                </c:pt>
                <c:pt idx="15">
                  <c:v>132722580.98652369</c:v>
                </c:pt>
                <c:pt idx="16">
                  <c:v>132722580.98652369</c:v>
                </c:pt>
                <c:pt idx="17">
                  <c:v>132722580.98652369</c:v>
                </c:pt>
                <c:pt idx="18">
                  <c:v>132722580.98652369</c:v>
                </c:pt>
                <c:pt idx="19">
                  <c:v>132722580.98652369</c:v>
                </c:pt>
                <c:pt idx="20">
                  <c:v>132722580.98652369</c:v>
                </c:pt>
                <c:pt idx="21">
                  <c:v>132722580.98652369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4-48C3-99AE-99F8DA1DDC0C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'E-Costos'!$F$165:$F$186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65409201.097146027</c:v>
                </c:pt>
                <c:pt idx="3">
                  <c:v>130818402.19429205</c:v>
                </c:pt>
                <c:pt idx="4">
                  <c:v>196227603.29143807</c:v>
                </c:pt>
                <c:pt idx="5">
                  <c:v>261636804.38858411</c:v>
                </c:pt>
                <c:pt idx="6">
                  <c:v>327046005.48573011</c:v>
                </c:pt>
                <c:pt idx="7">
                  <c:v>392455206.58287615</c:v>
                </c:pt>
                <c:pt idx="8">
                  <c:v>457864407.68002212</c:v>
                </c:pt>
                <c:pt idx="9">
                  <c:v>523273608.77716821</c:v>
                </c:pt>
                <c:pt idx="10">
                  <c:v>588682809.87431419</c:v>
                </c:pt>
                <c:pt idx="11">
                  <c:v>654092010.97146022</c:v>
                </c:pt>
                <c:pt idx="12">
                  <c:v>719501212.06860626</c:v>
                </c:pt>
                <c:pt idx="13">
                  <c:v>784910413.16575229</c:v>
                </c:pt>
                <c:pt idx="14">
                  <c:v>850319614.26289833</c:v>
                </c:pt>
                <c:pt idx="15">
                  <c:v>915728815.36004424</c:v>
                </c:pt>
                <c:pt idx="16">
                  <c:v>981138016.45719028</c:v>
                </c:pt>
                <c:pt idx="17">
                  <c:v>1046547217.5543364</c:v>
                </c:pt>
                <c:pt idx="18">
                  <c:v>1111956418.6514823</c:v>
                </c:pt>
                <c:pt idx="19">
                  <c:v>1177365619.7486284</c:v>
                </c:pt>
                <c:pt idx="20">
                  <c:v>1242774820.8457744</c:v>
                </c:pt>
                <c:pt idx="21">
                  <c:v>1308184021.9429204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4-48C3-99AE-99F8DA1DDC0C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'E-Costos'!$G$165:$G$186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132722580.98652369</c:v>
                </c:pt>
                <c:pt idx="2">
                  <c:v>198131782.08366972</c:v>
                </c:pt>
                <c:pt idx="3">
                  <c:v>263540983.18081576</c:v>
                </c:pt>
                <c:pt idx="4">
                  <c:v>328950184.27796173</c:v>
                </c:pt>
                <c:pt idx="5">
                  <c:v>394359385.37510777</c:v>
                </c:pt>
                <c:pt idx="6">
                  <c:v>459768586.4722538</c:v>
                </c:pt>
                <c:pt idx="7">
                  <c:v>525177787.56939983</c:v>
                </c:pt>
                <c:pt idx="8">
                  <c:v>590586988.66654587</c:v>
                </c:pt>
                <c:pt idx="9">
                  <c:v>655996189.7636919</c:v>
                </c:pt>
                <c:pt idx="10">
                  <c:v>721405390.86083794</c:v>
                </c:pt>
                <c:pt idx="11">
                  <c:v>786814591.95798397</c:v>
                </c:pt>
                <c:pt idx="12">
                  <c:v>852223793.05513</c:v>
                </c:pt>
                <c:pt idx="13">
                  <c:v>917632994.15227604</c:v>
                </c:pt>
                <c:pt idx="14">
                  <c:v>983042195.24942207</c:v>
                </c:pt>
                <c:pt idx="15">
                  <c:v>1048451396.3465679</c:v>
                </c:pt>
                <c:pt idx="16">
                  <c:v>1113860597.4437139</c:v>
                </c:pt>
                <c:pt idx="17">
                  <c:v>1179269798.5408602</c:v>
                </c:pt>
                <c:pt idx="18">
                  <c:v>1244678999.638006</c:v>
                </c:pt>
                <c:pt idx="19">
                  <c:v>1310088200.735152</c:v>
                </c:pt>
                <c:pt idx="20">
                  <c:v>1375497401.832298</c:v>
                </c:pt>
                <c:pt idx="21">
                  <c:v>1440906602.9294441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4-48C3-99AE-99F8DA1D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70759"/>
        <c:axId val="566337572"/>
      </c:lineChart>
      <c:catAx>
        <c:axId val="2051370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566337572"/>
        <c:crosses val="autoZero"/>
        <c:auto val="1"/>
        <c:lblAlgn val="ctr"/>
        <c:lblOffset val="100"/>
        <c:noMultiLvlLbl val="1"/>
      </c:catAx>
      <c:valAx>
        <c:axId val="566337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205137075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rgbClr val="92D05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'E-Costos'!$D$191:$D$211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114108750</c:v>
                </c:pt>
                <c:pt idx="2">
                  <c:v>228217500</c:v>
                </c:pt>
                <c:pt idx="3">
                  <c:v>342326250</c:v>
                </c:pt>
                <c:pt idx="4">
                  <c:v>456435000</c:v>
                </c:pt>
                <c:pt idx="5">
                  <c:v>570543750</c:v>
                </c:pt>
                <c:pt idx="6">
                  <c:v>684652500</c:v>
                </c:pt>
                <c:pt idx="7">
                  <c:v>798761250</c:v>
                </c:pt>
                <c:pt idx="8">
                  <c:v>912870000</c:v>
                </c:pt>
                <c:pt idx="9">
                  <c:v>1026978750</c:v>
                </c:pt>
                <c:pt idx="10">
                  <c:v>1141087500</c:v>
                </c:pt>
                <c:pt idx="11">
                  <c:v>1255196250</c:v>
                </c:pt>
                <c:pt idx="12">
                  <c:v>1369305000</c:v>
                </c:pt>
                <c:pt idx="13">
                  <c:v>1483413750</c:v>
                </c:pt>
                <c:pt idx="14">
                  <c:v>1597522500</c:v>
                </c:pt>
                <c:pt idx="15">
                  <c:v>1711631250</c:v>
                </c:pt>
                <c:pt idx="16">
                  <c:v>1825740000</c:v>
                </c:pt>
                <c:pt idx="17">
                  <c:v>1939848750</c:v>
                </c:pt>
                <c:pt idx="18">
                  <c:v>2053957500</c:v>
                </c:pt>
                <c:pt idx="19">
                  <c:v>2168066250</c:v>
                </c:pt>
                <c:pt idx="20">
                  <c:v>2282175000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0-414D-8362-89CB30A183A0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'E-Costos'!$E$190:$E$211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152155371.9415237</c:v>
                </c:pt>
                <c:pt idx="2">
                  <c:v>152155371.9415237</c:v>
                </c:pt>
                <c:pt idx="3">
                  <c:v>152155371.9415237</c:v>
                </c:pt>
                <c:pt idx="4">
                  <c:v>152155371.9415237</c:v>
                </c:pt>
                <c:pt idx="5">
                  <c:v>152155371.9415237</c:v>
                </c:pt>
                <c:pt idx="6">
                  <c:v>152155371.9415237</c:v>
                </c:pt>
                <c:pt idx="7">
                  <c:v>152155371.9415237</c:v>
                </c:pt>
                <c:pt idx="8">
                  <c:v>152155371.9415237</c:v>
                </c:pt>
                <c:pt idx="9">
                  <c:v>152155371.9415237</c:v>
                </c:pt>
                <c:pt idx="10">
                  <c:v>152155371.9415237</c:v>
                </c:pt>
                <c:pt idx="11">
                  <c:v>152155371.9415237</c:v>
                </c:pt>
                <c:pt idx="12">
                  <c:v>152155371.9415237</c:v>
                </c:pt>
                <c:pt idx="13">
                  <c:v>152155371.9415237</c:v>
                </c:pt>
                <c:pt idx="14">
                  <c:v>152155371.9415237</c:v>
                </c:pt>
                <c:pt idx="15">
                  <c:v>152155371.9415237</c:v>
                </c:pt>
                <c:pt idx="16">
                  <c:v>152155371.9415237</c:v>
                </c:pt>
                <c:pt idx="17">
                  <c:v>152155371.9415237</c:v>
                </c:pt>
                <c:pt idx="18">
                  <c:v>152155371.9415237</c:v>
                </c:pt>
                <c:pt idx="19">
                  <c:v>152155371.9415237</c:v>
                </c:pt>
                <c:pt idx="20">
                  <c:v>152155371.9415237</c:v>
                </c:pt>
                <c:pt idx="21">
                  <c:v>152155371.9415237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0-414D-8362-89CB30A183A0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rgbClr val="00B0F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'E-Costos'!$F$190:$F$211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176890469.78112903</c:v>
                </c:pt>
                <c:pt idx="3">
                  <c:v>353780939.56225806</c:v>
                </c:pt>
                <c:pt idx="4">
                  <c:v>530671409.34338707</c:v>
                </c:pt>
                <c:pt idx="5">
                  <c:v>707561879.12451613</c:v>
                </c:pt>
                <c:pt idx="6">
                  <c:v>884452348.90564513</c:v>
                </c:pt>
                <c:pt idx="7">
                  <c:v>1061342818.6867741</c:v>
                </c:pt>
                <c:pt idx="8">
                  <c:v>1238233288.4679031</c:v>
                </c:pt>
                <c:pt idx="9">
                  <c:v>1415123758.2490323</c:v>
                </c:pt>
                <c:pt idx="10">
                  <c:v>1592014228.0301614</c:v>
                </c:pt>
                <c:pt idx="11">
                  <c:v>1768904697.8112903</c:v>
                </c:pt>
                <c:pt idx="12">
                  <c:v>1945795167.5924194</c:v>
                </c:pt>
                <c:pt idx="13">
                  <c:v>2122685637.3735483</c:v>
                </c:pt>
                <c:pt idx="14">
                  <c:v>2299576107.1546774</c:v>
                </c:pt>
                <c:pt idx="15">
                  <c:v>2476466576.9358063</c:v>
                </c:pt>
                <c:pt idx="16">
                  <c:v>2653357046.7169352</c:v>
                </c:pt>
                <c:pt idx="17">
                  <c:v>2830247516.4980645</c:v>
                </c:pt>
                <c:pt idx="18">
                  <c:v>3007137986.2791934</c:v>
                </c:pt>
                <c:pt idx="19">
                  <c:v>3184028456.0603228</c:v>
                </c:pt>
                <c:pt idx="20">
                  <c:v>3360918925.8414512</c:v>
                </c:pt>
                <c:pt idx="21">
                  <c:v>3537809395.6225805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0-414D-8362-89CB30A183A0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'E-Costos'!$G$190:$G$211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152155371.9415237</c:v>
                </c:pt>
                <c:pt idx="2">
                  <c:v>329045841.72265273</c:v>
                </c:pt>
                <c:pt idx="3">
                  <c:v>505936311.5037818</c:v>
                </c:pt>
                <c:pt idx="4">
                  <c:v>682826781.2849108</c:v>
                </c:pt>
                <c:pt idx="5">
                  <c:v>859717251.0660398</c:v>
                </c:pt>
                <c:pt idx="6">
                  <c:v>1036607720.8471688</c:v>
                </c:pt>
                <c:pt idx="7">
                  <c:v>1213498190.6282978</c:v>
                </c:pt>
                <c:pt idx="8">
                  <c:v>1390388660.4094269</c:v>
                </c:pt>
                <c:pt idx="9">
                  <c:v>1567279130.190556</c:v>
                </c:pt>
                <c:pt idx="10">
                  <c:v>1744169599.9716852</c:v>
                </c:pt>
                <c:pt idx="11">
                  <c:v>1921060069.7528141</c:v>
                </c:pt>
                <c:pt idx="12">
                  <c:v>2097950539.5339432</c:v>
                </c:pt>
                <c:pt idx="13">
                  <c:v>2274841009.3150721</c:v>
                </c:pt>
                <c:pt idx="14">
                  <c:v>2451731479.0962009</c:v>
                </c:pt>
                <c:pt idx="15">
                  <c:v>2628621948.8773298</c:v>
                </c:pt>
                <c:pt idx="16">
                  <c:v>2805512418.6584587</c:v>
                </c:pt>
                <c:pt idx="17">
                  <c:v>2982402888.4395881</c:v>
                </c:pt>
                <c:pt idx="18">
                  <c:v>3159293358.220717</c:v>
                </c:pt>
                <c:pt idx="19">
                  <c:v>3336183828.0018463</c:v>
                </c:pt>
                <c:pt idx="20">
                  <c:v>3513074297.7829747</c:v>
                </c:pt>
                <c:pt idx="21">
                  <c:v>3689964767.5641041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0-414D-8362-89CB30A1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23238"/>
        <c:axId val="1592092454"/>
      </c:lineChart>
      <c:catAx>
        <c:axId val="1153723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592092454"/>
        <c:crosses val="autoZero"/>
        <c:auto val="1"/>
        <c:lblAlgn val="ctr"/>
        <c:lblOffset val="100"/>
        <c:noMultiLvlLbl val="1"/>
      </c:catAx>
      <c:valAx>
        <c:axId val="159209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1537232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del año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Estructura'!$B$51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Estructura'!$B$52:$B$72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CB0-83B2-FC206C6F87A8}"/>
            </c:ext>
          </c:extLst>
        </c:ser>
        <c:ser>
          <c:idx val="1"/>
          <c:order val="1"/>
          <c:tx>
            <c:strRef>
              <c:f>'F-2 Estructura'!$C$51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Estructura'!$C$52:$C$72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81506250</c:v>
                </c:pt>
                <c:pt idx="2">
                  <c:v>163012500</c:v>
                </c:pt>
                <c:pt idx="3">
                  <c:v>244518750</c:v>
                </c:pt>
                <c:pt idx="4">
                  <c:v>326025000</c:v>
                </c:pt>
                <c:pt idx="5">
                  <c:v>407531250</c:v>
                </c:pt>
                <c:pt idx="6">
                  <c:v>489037500</c:v>
                </c:pt>
                <c:pt idx="7">
                  <c:v>570543750</c:v>
                </c:pt>
                <c:pt idx="8">
                  <c:v>652050000</c:v>
                </c:pt>
                <c:pt idx="9">
                  <c:v>733556250</c:v>
                </c:pt>
                <c:pt idx="10">
                  <c:v>815062500</c:v>
                </c:pt>
                <c:pt idx="11">
                  <c:v>896568750.00000012</c:v>
                </c:pt>
                <c:pt idx="12">
                  <c:v>978075000</c:v>
                </c:pt>
                <c:pt idx="13">
                  <c:v>1059581250</c:v>
                </c:pt>
                <c:pt idx="14">
                  <c:v>1141087500</c:v>
                </c:pt>
                <c:pt idx="15">
                  <c:v>1222593750</c:v>
                </c:pt>
                <c:pt idx="16">
                  <c:v>1304100000</c:v>
                </c:pt>
                <c:pt idx="17">
                  <c:v>1385606250</c:v>
                </c:pt>
                <c:pt idx="18">
                  <c:v>1467112500</c:v>
                </c:pt>
                <c:pt idx="19">
                  <c:v>1548618750</c:v>
                </c:pt>
                <c:pt idx="20">
                  <c:v>1630125000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C-4CB0-83B2-FC206C6F87A8}"/>
            </c:ext>
          </c:extLst>
        </c:ser>
        <c:ser>
          <c:idx val="2"/>
          <c:order val="2"/>
          <c:tx>
            <c:strRef>
              <c:f>'F-2 Estructura'!$D$51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Estructura'!$D$52:$D$72</c:f>
              <c:numCache>
                <c:formatCode>_(\$* #,##0.00_);_(\$* \(#,##0.00\);_(\$* \-??_);_(@_)</c:formatCode>
                <c:ptCount val="21"/>
                <c:pt idx="0">
                  <c:v>167122634.06212837</c:v>
                </c:pt>
                <c:pt idx="1">
                  <c:v>167122634.06212837</c:v>
                </c:pt>
                <c:pt idx="2">
                  <c:v>167122634.06212837</c:v>
                </c:pt>
                <c:pt idx="3">
                  <c:v>167122634.06212837</c:v>
                </c:pt>
                <c:pt idx="4">
                  <c:v>167122634.06212837</c:v>
                </c:pt>
                <c:pt idx="5">
                  <c:v>167122634.06212837</c:v>
                </c:pt>
                <c:pt idx="6">
                  <c:v>167122634.06212837</c:v>
                </c:pt>
                <c:pt idx="7">
                  <c:v>167122634.06212837</c:v>
                </c:pt>
                <c:pt idx="8">
                  <c:v>167122634.06212837</c:v>
                </c:pt>
                <c:pt idx="9">
                  <c:v>167122634.06212837</c:v>
                </c:pt>
                <c:pt idx="10">
                  <c:v>167122634.06212837</c:v>
                </c:pt>
                <c:pt idx="11">
                  <c:v>167122634.06212837</c:v>
                </c:pt>
                <c:pt idx="12">
                  <c:v>167122634.06212837</c:v>
                </c:pt>
                <c:pt idx="13">
                  <c:v>167122634.06212837</c:v>
                </c:pt>
                <c:pt idx="14">
                  <c:v>167122634.06212837</c:v>
                </c:pt>
                <c:pt idx="15">
                  <c:v>167122634.06212837</c:v>
                </c:pt>
                <c:pt idx="16">
                  <c:v>167122634.06212837</c:v>
                </c:pt>
                <c:pt idx="17">
                  <c:v>167122634.06212837</c:v>
                </c:pt>
                <c:pt idx="18">
                  <c:v>167122634.06212837</c:v>
                </c:pt>
                <c:pt idx="19">
                  <c:v>167122634.06212837</c:v>
                </c:pt>
                <c:pt idx="20">
                  <c:v>167122634.06212837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C-4CB0-83B2-FC206C6F87A8}"/>
            </c:ext>
          </c:extLst>
        </c:ser>
        <c:ser>
          <c:idx val="3"/>
          <c:order val="3"/>
          <c:tx>
            <c:strRef>
              <c:f>'F-2 Estructura'!$E$51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Estructura'!$E$52:$E$72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65409201.097146027</c:v>
                </c:pt>
                <c:pt idx="2">
                  <c:v>130818402.19429205</c:v>
                </c:pt>
                <c:pt idx="3">
                  <c:v>196227603.29143807</c:v>
                </c:pt>
                <c:pt idx="4">
                  <c:v>261636804.38858411</c:v>
                </c:pt>
                <c:pt idx="5">
                  <c:v>327046005.48573011</c:v>
                </c:pt>
                <c:pt idx="6">
                  <c:v>392455206.58287615</c:v>
                </c:pt>
                <c:pt idx="7">
                  <c:v>457864407.68002212</c:v>
                </c:pt>
                <c:pt idx="8">
                  <c:v>523273608.77716821</c:v>
                </c:pt>
                <c:pt idx="9">
                  <c:v>588682809.87431419</c:v>
                </c:pt>
                <c:pt idx="10">
                  <c:v>654092010.97146022</c:v>
                </c:pt>
                <c:pt idx="11">
                  <c:v>719501212.06860626</c:v>
                </c:pt>
                <c:pt idx="12">
                  <c:v>784910413.16575229</c:v>
                </c:pt>
                <c:pt idx="13">
                  <c:v>850319614.26289833</c:v>
                </c:pt>
                <c:pt idx="14">
                  <c:v>915728815.36004424</c:v>
                </c:pt>
                <c:pt idx="15">
                  <c:v>981138016.45719028</c:v>
                </c:pt>
                <c:pt idx="16">
                  <c:v>1046547217.5543364</c:v>
                </c:pt>
                <c:pt idx="17">
                  <c:v>1111956418.6514823</c:v>
                </c:pt>
                <c:pt idx="18">
                  <c:v>1177365619.7486284</c:v>
                </c:pt>
                <c:pt idx="19">
                  <c:v>1242774820.8457744</c:v>
                </c:pt>
                <c:pt idx="20">
                  <c:v>1308184021.9429204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8C-4CB0-83B2-FC206C6F87A8}"/>
            </c:ext>
          </c:extLst>
        </c:ser>
        <c:ser>
          <c:idx val="4"/>
          <c:order val="4"/>
          <c:tx>
            <c:strRef>
              <c:f>'F-2 Estructura'!$F$51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Estructura'!$F$52:$F$72</c:f>
              <c:numCache>
                <c:formatCode>_(\$* #,##0.00_);_(\$* \(#,##0.00\);_(\$* \-??_);_(@_)</c:formatCode>
                <c:ptCount val="21"/>
                <c:pt idx="0">
                  <c:v>167122634.06212837</c:v>
                </c:pt>
                <c:pt idx="1">
                  <c:v>232531835.1592744</c:v>
                </c:pt>
                <c:pt idx="2">
                  <c:v>297941036.25642043</c:v>
                </c:pt>
                <c:pt idx="3">
                  <c:v>363350237.35356641</c:v>
                </c:pt>
                <c:pt idx="4">
                  <c:v>428759438.45071244</c:v>
                </c:pt>
                <c:pt idx="5">
                  <c:v>494168639.54785848</c:v>
                </c:pt>
                <c:pt idx="6">
                  <c:v>559577840.64500451</c:v>
                </c:pt>
                <c:pt idx="7">
                  <c:v>624987041.74215055</c:v>
                </c:pt>
                <c:pt idx="8">
                  <c:v>690396242.83929658</c:v>
                </c:pt>
                <c:pt idx="9">
                  <c:v>755805443.93644261</c:v>
                </c:pt>
                <c:pt idx="10">
                  <c:v>821214645.03358865</c:v>
                </c:pt>
                <c:pt idx="11">
                  <c:v>886623846.13073468</c:v>
                </c:pt>
                <c:pt idx="12">
                  <c:v>952033047.22788072</c:v>
                </c:pt>
                <c:pt idx="13">
                  <c:v>1017442248.3250268</c:v>
                </c:pt>
                <c:pt idx="14">
                  <c:v>1082851449.4221725</c:v>
                </c:pt>
                <c:pt idx="15">
                  <c:v>1148260650.5193186</c:v>
                </c:pt>
                <c:pt idx="16">
                  <c:v>1213669851.6164649</c:v>
                </c:pt>
                <c:pt idx="17">
                  <c:v>1279079052.7136106</c:v>
                </c:pt>
                <c:pt idx="18">
                  <c:v>1344488253.8107567</c:v>
                </c:pt>
                <c:pt idx="19">
                  <c:v>1409897454.9079027</c:v>
                </c:pt>
                <c:pt idx="20">
                  <c:v>1475306656.0050488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8C-4CB0-83B2-FC206C6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41607"/>
        <c:axId val="2085145367"/>
      </c:lineChart>
      <c:catAx>
        <c:axId val="945041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85145367"/>
        <c:crosses val="autoZero"/>
        <c:auto val="1"/>
        <c:lblAlgn val="ctr"/>
        <c:lblOffset val="100"/>
        <c:noMultiLvlLbl val="0"/>
      </c:catAx>
      <c:valAx>
        <c:axId val="2085145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5041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Estructura'!$B$77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Estructura'!$B$78:$B$98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C4C-B760-0621CD5544EA}"/>
            </c:ext>
          </c:extLst>
        </c:ser>
        <c:ser>
          <c:idx val="1"/>
          <c:order val="1"/>
          <c:tx>
            <c:strRef>
              <c:f>'F-2 Estructura'!$C$77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Estructura'!$C$78:$C$98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81506250</c:v>
                </c:pt>
                <c:pt idx="2">
                  <c:v>163012500</c:v>
                </c:pt>
                <c:pt idx="3">
                  <c:v>244518750</c:v>
                </c:pt>
                <c:pt idx="4">
                  <c:v>326025000</c:v>
                </c:pt>
                <c:pt idx="5">
                  <c:v>407531250</c:v>
                </c:pt>
                <c:pt idx="6">
                  <c:v>489037500</c:v>
                </c:pt>
                <c:pt idx="7">
                  <c:v>570543750</c:v>
                </c:pt>
                <c:pt idx="8">
                  <c:v>652050000</c:v>
                </c:pt>
                <c:pt idx="9">
                  <c:v>733556250</c:v>
                </c:pt>
                <c:pt idx="10">
                  <c:v>815062500</c:v>
                </c:pt>
                <c:pt idx="11">
                  <c:v>896568750.00000012</c:v>
                </c:pt>
                <c:pt idx="12">
                  <c:v>978075000</c:v>
                </c:pt>
                <c:pt idx="13">
                  <c:v>1059581250</c:v>
                </c:pt>
                <c:pt idx="14">
                  <c:v>1141087500</c:v>
                </c:pt>
                <c:pt idx="15">
                  <c:v>1222593750</c:v>
                </c:pt>
                <c:pt idx="16">
                  <c:v>1304100000</c:v>
                </c:pt>
                <c:pt idx="17">
                  <c:v>1385606250</c:v>
                </c:pt>
                <c:pt idx="18">
                  <c:v>1467112500</c:v>
                </c:pt>
                <c:pt idx="19">
                  <c:v>1548618750</c:v>
                </c:pt>
                <c:pt idx="20">
                  <c:v>1630125000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6-4C4C-B760-0621CD5544EA}"/>
            </c:ext>
          </c:extLst>
        </c:ser>
        <c:ser>
          <c:idx val="2"/>
          <c:order val="2"/>
          <c:tx>
            <c:strRef>
              <c:f>'F-2 Estructura'!$D$77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Estructura'!$D$78:$D$98</c:f>
              <c:numCache>
                <c:formatCode>_(\$* #,##0.00_);_(\$* \(#,##0.00\);_(\$* \-??_);_(@_)</c:formatCode>
                <c:ptCount val="21"/>
                <c:pt idx="0">
                  <c:v>263004650.02152371</c:v>
                </c:pt>
                <c:pt idx="1">
                  <c:v>263004650.02152371</c:v>
                </c:pt>
                <c:pt idx="2">
                  <c:v>263004650.02152371</c:v>
                </c:pt>
                <c:pt idx="3">
                  <c:v>263004650.02152371</c:v>
                </c:pt>
                <c:pt idx="4">
                  <c:v>263004650.02152371</c:v>
                </c:pt>
                <c:pt idx="5">
                  <c:v>263004650.02152371</c:v>
                </c:pt>
                <c:pt idx="6">
                  <c:v>263004650.02152371</c:v>
                </c:pt>
                <c:pt idx="7">
                  <c:v>263004650.02152371</c:v>
                </c:pt>
                <c:pt idx="8">
                  <c:v>263004650.02152371</c:v>
                </c:pt>
                <c:pt idx="9">
                  <c:v>263004650.02152371</c:v>
                </c:pt>
                <c:pt idx="10">
                  <c:v>263004650.02152371</c:v>
                </c:pt>
                <c:pt idx="11">
                  <c:v>263004650.02152371</c:v>
                </c:pt>
                <c:pt idx="12">
                  <c:v>263004650.02152371</c:v>
                </c:pt>
                <c:pt idx="13">
                  <c:v>263004650.02152371</c:v>
                </c:pt>
                <c:pt idx="14">
                  <c:v>263004650.02152371</c:v>
                </c:pt>
                <c:pt idx="15">
                  <c:v>263004650.02152371</c:v>
                </c:pt>
                <c:pt idx="16">
                  <c:v>263004650.02152371</c:v>
                </c:pt>
                <c:pt idx="17">
                  <c:v>263004650.02152371</c:v>
                </c:pt>
                <c:pt idx="18">
                  <c:v>263004650.02152371</c:v>
                </c:pt>
                <c:pt idx="19">
                  <c:v>263004650.02152371</c:v>
                </c:pt>
                <c:pt idx="20">
                  <c:v>263004650.02152371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C6-4C4C-B760-0621CD5544EA}"/>
            </c:ext>
          </c:extLst>
        </c:ser>
        <c:ser>
          <c:idx val="3"/>
          <c:order val="3"/>
          <c:tx>
            <c:strRef>
              <c:f>'F-2 Estructura'!$E$77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Estructura'!$E$78:$E$98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61003673.154396027</c:v>
                </c:pt>
                <c:pt idx="2">
                  <c:v>122007346.30879205</c:v>
                </c:pt>
                <c:pt idx="3">
                  <c:v>183011019.46318805</c:v>
                </c:pt>
                <c:pt idx="4">
                  <c:v>244014692.61758411</c:v>
                </c:pt>
                <c:pt idx="5">
                  <c:v>305018365.77198011</c:v>
                </c:pt>
                <c:pt idx="6">
                  <c:v>366022038.9263761</c:v>
                </c:pt>
                <c:pt idx="7">
                  <c:v>427025712.0807721</c:v>
                </c:pt>
                <c:pt idx="8">
                  <c:v>488029385.23516822</c:v>
                </c:pt>
                <c:pt idx="9">
                  <c:v>549033058.38956416</c:v>
                </c:pt>
                <c:pt idx="10">
                  <c:v>610036731.54396021</c:v>
                </c:pt>
                <c:pt idx="11">
                  <c:v>671040404.69835627</c:v>
                </c:pt>
                <c:pt idx="12">
                  <c:v>732044077.85275221</c:v>
                </c:pt>
                <c:pt idx="13">
                  <c:v>793047751.00714827</c:v>
                </c:pt>
                <c:pt idx="14">
                  <c:v>854051424.1615442</c:v>
                </c:pt>
                <c:pt idx="15">
                  <c:v>915055097.31594038</c:v>
                </c:pt>
                <c:pt idx="16">
                  <c:v>976058770.47033644</c:v>
                </c:pt>
                <c:pt idx="17">
                  <c:v>1037062443.6247324</c:v>
                </c:pt>
                <c:pt idx="18">
                  <c:v>1098066116.7791283</c:v>
                </c:pt>
                <c:pt idx="19">
                  <c:v>1159069789.9335244</c:v>
                </c:pt>
                <c:pt idx="20">
                  <c:v>1220073463.0879204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C6-4C4C-B760-0621CD5544EA}"/>
            </c:ext>
          </c:extLst>
        </c:ser>
        <c:ser>
          <c:idx val="4"/>
          <c:order val="4"/>
          <c:tx>
            <c:strRef>
              <c:f>'F-2 Estructura'!$F$77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Estructura'!$F$78:$F$98</c:f>
              <c:numCache>
                <c:formatCode>_(\$* #,##0.00_);_(\$* \(#,##0.00\);_(\$* \-??_);_(@_)</c:formatCode>
                <c:ptCount val="21"/>
                <c:pt idx="0">
                  <c:v>263004650.02152371</c:v>
                </c:pt>
                <c:pt idx="1">
                  <c:v>324008323.17591977</c:v>
                </c:pt>
                <c:pt idx="2">
                  <c:v>385011996.33031577</c:v>
                </c:pt>
                <c:pt idx="3">
                  <c:v>446015669.48471177</c:v>
                </c:pt>
                <c:pt idx="4">
                  <c:v>507019342.63910782</c:v>
                </c:pt>
                <c:pt idx="5">
                  <c:v>568023015.79350376</c:v>
                </c:pt>
                <c:pt idx="6">
                  <c:v>629026688.94789982</c:v>
                </c:pt>
                <c:pt idx="7">
                  <c:v>690030362.10229588</c:v>
                </c:pt>
                <c:pt idx="8">
                  <c:v>751034035.25669193</c:v>
                </c:pt>
                <c:pt idx="9">
                  <c:v>812037708.41108787</c:v>
                </c:pt>
                <c:pt idx="10">
                  <c:v>873041381.56548393</c:v>
                </c:pt>
                <c:pt idx="11">
                  <c:v>934045054.71987998</c:v>
                </c:pt>
                <c:pt idx="12">
                  <c:v>995048727.87427592</c:v>
                </c:pt>
                <c:pt idx="13">
                  <c:v>1056052401.028672</c:v>
                </c:pt>
                <c:pt idx="14">
                  <c:v>1117056074.1830678</c:v>
                </c:pt>
                <c:pt idx="15">
                  <c:v>1178059747.3374641</c:v>
                </c:pt>
                <c:pt idx="16">
                  <c:v>1239063420.4918602</c:v>
                </c:pt>
                <c:pt idx="17">
                  <c:v>1300067093.646256</c:v>
                </c:pt>
                <c:pt idx="18">
                  <c:v>1361070766.800652</c:v>
                </c:pt>
                <c:pt idx="19">
                  <c:v>1422074439.9550481</c:v>
                </c:pt>
                <c:pt idx="20">
                  <c:v>1483078113.1094441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C6-4C4C-B760-0621CD55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203255"/>
        <c:axId val="1335391096"/>
      </c:lineChart>
      <c:catAx>
        <c:axId val="1190203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35391096"/>
        <c:crosses val="autoZero"/>
        <c:auto val="1"/>
        <c:lblAlgn val="ctr"/>
        <c:lblOffset val="100"/>
        <c:noMultiLvlLbl val="0"/>
      </c:catAx>
      <c:valAx>
        <c:axId val="13353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90203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13</xdr:row>
      <xdr:rowOff>9525</xdr:rowOff>
    </xdr:from>
    <xdr:to>
      <xdr:col>12</xdr:col>
      <xdr:colOff>666750</xdr:colOff>
      <xdr:row>29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E6B47-8996-F618-B380-EBB7E9D0BF9C}"/>
            </a:ext>
            <a:ext uri="{147F2762-F138-4A5C-976F-8EAC2B608ADB}">
              <a16:predDERef xmlns:a16="http://schemas.microsoft.com/office/drawing/2014/main" pre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2219325"/>
          <a:ext cx="2562225" cy="2600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28575</xdr:rowOff>
    </xdr:from>
    <xdr:to>
      <xdr:col>16</xdr:col>
      <xdr:colOff>857250</xdr:colOff>
      <xdr:row>51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57117-B245-1194-013F-B19C481A6DE0}"/>
            </a:ext>
            <a:ext uri="{147F2762-F138-4A5C-976F-8EAC2B608ADB}">
              <a16:predDERef xmlns:a16="http://schemas.microsoft.com/office/drawing/2014/main" pred="{092E6B47-8996-F618-B380-EBB7E9D0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0" y="5981700"/>
          <a:ext cx="84201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164</xdr:row>
      <xdr:rowOff>19050</xdr:rowOff>
    </xdr:from>
    <xdr:ext cx="6057900" cy="2828925"/>
    <xdr:graphicFrame macro="">
      <xdr:nvGraphicFramePr>
        <xdr:cNvPr id="505568322" name="Chart 1">
          <a:extLst>
            <a:ext uri="{FF2B5EF4-FFF2-40B4-BE49-F238E27FC236}">
              <a16:creationId xmlns:a16="http://schemas.microsoft.com/office/drawing/2014/main" i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200025</xdr:colOff>
      <xdr:row>189</xdr:row>
      <xdr:rowOff>19050</xdr:rowOff>
    </xdr:from>
    <xdr:ext cx="5981700" cy="2743200"/>
    <xdr:graphicFrame macro="">
      <xdr:nvGraphicFramePr>
        <xdr:cNvPr id="1181109896" name="Chart 2">
          <a:extLst>
            <a:ext uri="{FF2B5EF4-FFF2-40B4-BE49-F238E27FC236}">
              <a16:creationId xmlns:a16="http://schemas.microsoft.com/office/drawing/2014/main" id="{00000000-0008-0000-0700-0000884E6646}"/>
            </a:ext>
            <a:ext uri="{147F2762-F138-4A5C-976F-8EAC2B608ADB}">
              <a16:predDERef xmlns:a16="http://schemas.microsoft.com/office/drawing/2014/main" pre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19</xdr:row>
      <xdr:rowOff>76200</xdr:rowOff>
    </xdr:from>
    <xdr:to>
      <xdr:col>20</xdr:col>
      <xdr:colOff>381000</xdr:colOff>
      <xdr:row>38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EED8A-12A4-DCBC-9989-6927DAD6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3228975"/>
          <a:ext cx="7962900" cy="314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49</xdr:row>
      <xdr:rowOff>114300</xdr:rowOff>
    </xdr:from>
    <xdr:to>
      <xdr:col>14</xdr:col>
      <xdr:colOff>542925</xdr:colOff>
      <xdr:row>72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76</xdr:row>
      <xdr:rowOff>19050</xdr:rowOff>
    </xdr:from>
    <xdr:to>
      <xdr:col>15</xdr:col>
      <xdr:colOff>285750</xdr:colOff>
      <xdr:row>98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907D2-EE5E-A13C-2FFE-CE3F51B55E15}"/>
            </a:ext>
            <a:ext uri="{147F2762-F138-4A5C-976F-8EAC2B608ADB}">
              <a16:predDERef xmlns:a16="http://schemas.microsoft.com/office/drawing/2014/main" pre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Armado Irvin  VALENCIA BOCANEGRA" id="{BCF3E629-33DE-4287-A888-E6A706D05612}" userId="S::jvalencia-tmp@alumnos.frh.utn.edu.ar::712a9360-8e76-41d3-a39b-78cd3234eb36" providerId="AD"/>
  <person displayName="Usuario invitado" id="{6E775197-4FA1-4A7A-A27E-5E1B28A0D4F4}" userId="S::urn:spo:anon#52e480d0a2818f7a4af30c197b5cfd4d489464ebe130d4bcae0517433deb49ec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9-23T01:33:30.89" personId="{6E775197-4FA1-4A7A-A27E-5E1B28A0D4F4}" id="{C6A36AB6-6A97-4294-AB33-D56732A9E410}">
    <text>Sale del técnico (ej 6 a 11)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2" dT="2022-09-23T02:24:31.60" personId="{6E775197-4FA1-4A7A-A27E-5E1B28A0D4F4}" id="{F3C2F626-B91D-4F46-B9B2-2311D736F6CB}">
    <text>porcentajes salen de práctica dada por catedra</text>
  </threadedComment>
  <threadedComment ref="D82" dT="2022-09-20T20:50:15.91" personId="{BCF3E629-33DE-4287-A888-E6A706D05612}" id="{42141B42-B524-413F-9B65-A83336A63F0D}">
    <text xml:space="preserve">datos optenidos del  ejercicio 19- I4DT1 EJERCICIOS DE APLICADION
</text>
  </threadedComment>
  <threadedComment ref="E87" dT="2022-09-20T20:57:23.85" personId="{BCF3E629-33DE-4287-A888-E6A706D05612}" id="{F7BD38D8-FDBD-4B4D-941D-8F26CAD1CF6B}">
    <text xml:space="preserve">Estos porcentaje es obtenido del ejercicio 14 de amortización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4" dT="2022-10-28T12:08:15.19" personId="{6E775197-4FA1-4A7A-A27E-5E1B28A0D4F4}" id="{7F9A97BA-A8C5-464C-8897-6213A3A75426}">
    <text>ACTIVO TOTAL=PASIVO+PATRIMONIO NETO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arhoy.com/cotizacion-dolar-banco-nacion" TargetMode="External"/><Relationship Id="rId1" Type="http://schemas.openxmlformats.org/officeDocument/2006/relationships/hyperlink" Target="https://www.bice.com.ar/productos/linea-pyme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gentina.gob.ar/produccion/financiamiento-pyme" TargetMode="External"/><Relationship Id="rId1" Type="http://schemas.openxmlformats.org/officeDocument/2006/relationships/hyperlink" Target="https://www.bna.com.ar/Empresas/Grandes/CreditoMaquinasFabNaciona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rcadolibre.com.ar/microondas-bgh-quick-chef-b120db9-blanco-20l-220v/p/MLA15237032?pdp_filters=category:MLA1577" TargetMode="External"/><Relationship Id="rId18" Type="http://schemas.openxmlformats.org/officeDocument/2006/relationships/hyperlink" Target="https://www.argentina.gob.ar/inpi/marcas/registrar-una-marca" TargetMode="External"/><Relationship Id="rId26" Type="http://schemas.openxmlformats.org/officeDocument/2006/relationships/hyperlink" Target="https://homesolution.net/ar/about/preciosreferencia/electricista" TargetMode="External"/><Relationship Id="rId3" Type="http://schemas.openxmlformats.org/officeDocument/2006/relationships/hyperlink" Target="https://www.mercadolibre.com.ar/cafetera-oster-bvstdc10ss-automatica-negra-220v/p/MLA15589099?pdp_filters=category:MLA4340" TargetMode="External"/><Relationship Id="rId21" Type="http://schemas.openxmlformats.org/officeDocument/2006/relationships/hyperlink" Target="https://www.musimundo.com/informatica/notebook/notebook-hp-14-dq2029la-intel-core-i5/p/00454005?&amp;utm_source=braindw&amp;utm_medium=g%C3%B3ndola-masvendidos-cateogoria&amp;utm_campaign=g%C3%B3ndola-masvendidos-cateogoria" TargetMode="External"/><Relationship Id="rId7" Type="http://schemas.openxmlformats.org/officeDocument/2006/relationships/hyperlink" Target="https://desillas.com/producto-2676-sillon-lancaster.html?gclid=Cj0KCQjwhsmaBhCvARIsAIbEbH4MuD7ASmt43CdgDowSvyp9MPxIAppzlQqUzO61EI8ERo9v6WdSVHwaAltnEALw_wcB" TargetMode="External"/><Relationship Id="rId12" Type="http://schemas.openxmlformats.org/officeDocument/2006/relationships/hyperlink" Target="https://www.mercadolibre.com.ar/telefono-fijo-noblex-nct300-negro/p/MLA7979292" TargetMode="External"/><Relationship Id="rId17" Type="http://schemas.openxmlformats.org/officeDocument/2006/relationships/hyperlink" Target="http://www.portalsocietario.com.ar/constitucionsrl-ciudad.html" TargetMode="External"/><Relationship Id="rId25" Type="http://schemas.openxmlformats.org/officeDocument/2006/relationships/hyperlink" Target="https://www.iprofesional.com/actualidad/367715-mano-de-obra-electrica-precios-y-tabla-de-costo-2022-argentina" TargetMode="External"/><Relationship Id="rId33" Type="http://schemas.openxmlformats.org/officeDocument/2006/relationships/hyperlink" Target="https://articulo.mercadolibre.com.ar/MLA-723278664-mesa-industrial-80x180-patas-de-hierro-tapa-color-madera-_JM?searchVariation=36130025560" TargetMode="External"/><Relationship Id="rId2" Type="http://schemas.openxmlformats.org/officeDocument/2006/relationships/hyperlink" Target="https://www.mercadolibre.com.ar/impresora-multifuncion-canon-imageclass-mf264dw-con-wifi-negra-120v230v/p/MLA15712570?pdp_filters=category:MLA1676" TargetMode="External"/><Relationship Id="rId16" Type="http://schemas.openxmlformats.org/officeDocument/2006/relationships/hyperlink" Target="https://articulo.mercadolibre.com.ar/MLA-603877434-zorra-hidraulica-para-palets-capacidad-de-carga-3000-kg-ancha-680-mm-nueva-reforzada-_JM" TargetMode="External"/><Relationship Id="rId20" Type="http://schemas.openxmlformats.org/officeDocument/2006/relationships/hyperlink" Target="https://terreno.mercadolibre.com.ar/MLA-1201627773-ultimo-lote-de-8600m2-en-parque-industrial-en-197-panamericana-_JM" TargetMode="External"/><Relationship Id="rId29" Type="http://schemas.openxmlformats.org/officeDocument/2006/relationships/hyperlink" Target="https://articulo.mercadolibre.com.ar/MLA-856919586-llave-toma-corriente-doble-exterior-enchufe-aplicar-jeluz-_JM?searchVariation=56415635697" TargetMode="External"/><Relationship Id="rId1" Type="http://schemas.openxmlformats.org/officeDocument/2006/relationships/hyperlink" Target="https://www.nexo-consulting.com/?gclid=Cj0KCQjwtMCKBhDAARIsAG-2Eu8W0pvqS3Og96N-x4PWSN3LM8Xu2I55qD5iFXwVIcci8L6ou3zC83oaAkC4EALw_wcB" TargetMode="External"/><Relationship Id="rId6" Type="http://schemas.openxmlformats.org/officeDocument/2006/relationships/hyperlink" Target="https://listado.mercadolibre.com.ar/escritorio-de-oficina" TargetMode="External"/><Relationship Id="rId11" Type="http://schemas.openxmlformats.org/officeDocument/2006/relationships/hyperlink" Target="https://articulo.mercadolibre.com.ar/MLA-611291859-caja-fuerte-digital-llave-tamano-apto-notebook-43x20x37cm-_JM" TargetMode="External"/><Relationship Id="rId24" Type="http://schemas.openxmlformats.org/officeDocument/2006/relationships/hyperlink" Target="https://homesolution.net/ar/about/preciosreferencia/electricista" TargetMode="External"/><Relationship Id="rId32" Type="http://schemas.openxmlformats.org/officeDocument/2006/relationships/hyperlink" Target="https://articulo.mercadolibre.com.ar/MLA-1124900352-silla-comedor-industrial-metal-reforzada-apilable-tolix-x6-_JM?searchVariation=174240299027" TargetMode="External"/><Relationship Id="rId5" Type="http://schemas.openxmlformats.org/officeDocument/2006/relationships/hyperlink" Target="https://www.mercadolibre.com.ar/smart-tv-tcl-s60a-series-l32s60a-led-hd-32-100v240v/p/MLA16266563" TargetMode="External"/><Relationship Id="rId15" Type="http://schemas.openxmlformats.org/officeDocument/2006/relationships/hyperlink" Target="https://articulo.mercadolibre.com.ar/MLA-762418054-reloj-control-personal-tarjeta-fichero-entradasalida-_JM" TargetMode="External"/><Relationship Id="rId23" Type="http://schemas.openxmlformats.org/officeDocument/2006/relationships/hyperlink" Target="https://servicio.mercadolibre.com.ar/MLA-1167154428-instalacion-de-gas-natural-gasista-matriculado-110000-_JM" TargetMode="External"/><Relationship Id="rId28" Type="http://schemas.openxmlformats.org/officeDocument/2006/relationships/hyperlink" Target="https://articulo.mercadolibre.com.ar/MLA-886428461-distribuidor-de-tension-trifasico-63a-_JM" TargetMode="External"/><Relationship Id="rId10" Type="http://schemas.openxmlformats.org/officeDocument/2006/relationships/hyperlink" Target="https://articulo.mercadolibre.com.ar/MLA-776320001-mueble-auxiliar-bajo-oficina-escritorio-ote-muebles-_JM" TargetMode="External"/><Relationship Id="rId19" Type="http://schemas.openxmlformats.org/officeDocument/2006/relationships/hyperlink" Target="https://www.argentina.gob.ar/sites/default/files/aranceles_vigentesinpi19.pdf" TargetMode="External"/><Relationship Id="rId31" Type="http://schemas.openxmlformats.org/officeDocument/2006/relationships/hyperlink" Target="https://www.musimundo.com/electrohogar/cocinas/cocina-morelli-forza-900-puerta-visor-5-h/p/00188006?gclid=Cj0KCQjwhsmaBhCvARIsAIbEbH4FqQ4eyJ4V7g65MXjyHox_hOaHy31Dny5ZMSYbL07ibCsYwq7VgD8aAmfmEALw_wcB" TargetMode="External"/><Relationship Id="rId4" Type="http://schemas.openxmlformats.org/officeDocument/2006/relationships/hyperlink" Target="https://www.mercadolibre.com.ar/heladera-patrick-hpk135m00b01-blanca-con-freezer-264l-220v/p/MLA17827341?pdp_filters=category:MLA398582" TargetMode="External"/><Relationship Id="rId9" Type="http://schemas.openxmlformats.org/officeDocument/2006/relationships/hyperlink" Target="https://articulo.mercadolibre.com.ar/MLA-1125288930-computadora-pc-cpu-solarmax-intel-core-i5-16gb-480-ssd-wifi-_JM" TargetMode="External"/><Relationship Id="rId14" Type="http://schemas.openxmlformats.org/officeDocument/2006/relationships/hyperlink" Target="https://articulo.mercadolibre.com.ar/MLA-1158566259-pava-electrica-jarra-acero-inoxidable-mate-cafe-2-litros-_JM" TargetMode="External"/><Relationship Id="rId22" Type="http://schemas.openxmlformats.org/officeDocument/2006/relationships/hyperlink" Target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TargetMode="External"/><Relationship Id="rId27" Type="http://schemas.openxmlformats.org/officeDocument/2006/relationships/hyperlink" Target="https://articulo.mercadolibre.com.ar/MLA-912073941-transformador-380v-110v-200w-industrial-celenia-_JM" TargetMode="External"/><Relationship Id="rId30" Type="http://schemas.openxmlformats.org/officeDocument/2006/relationships/hyperlink" Target="https://tienda.personal.com.ar/tienda/motorola-moto-g200-remote-morado-128-gb" TargetMode="External"/><Relationship Id="rId8" Type="http://schemas.openxmlformats.org/officeDocument/2006/relationships/hyperlink" Target="https://www.mercadolibre.com.ar/aire-acondicionado-bgh-split-friocalor-3000-frigorias-blanco-220v-bs35wcat/p/MLA18705457?pdp_filters=category:MLA164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deeac.org.ar/wp-content/uploads/2021/06/SALARIOS-MARZO-2022.pdf" TargetMode="External"/><Relationship Id="rId13" Type="http://schemas.openxmlformats.org/officeDocument/2006/relationships/hyperlink" Target="https://www.argentina.gob.ar/transporte/cnrt/transparencia/escalas-salariales" TargetMode="External"/><Relationship Id="rId18" Type="http://schemas.openxmlformats.org/officeDocument/2006/relationships/hyperlink" Target="https://www.iprofesional.com/management/354392-sueldo-empleado-de-comercio-argentina-2022" TargetMode="External"/><Relationship Id="rId3" Type="http://schemas.openxmlformats.org/officeDocument/2006/relationships/hyperlink" Target="https://articulo.mercadolibre.com.ar/MLA-703505145-caja-carton-embalaje-40x30x30-mudanza-doble-reforzada-x50-_J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uci.org.ar/index.php?seccion=Escala" TargetMode="External"/><Relationship Id="rId12" Type="http://schemas.openxmlformats.org/officeDocument/2006/relationships/hyperlink" Target="https://www.argentina.gob.ar/transporte/cnrt/transparencia/escalas-salariales" TargetMode="External"/><Relationship Id="rId17" Type="http://schemas.openxmlformats.org/officeDocument/2006/relationships/hyperlink" Target="https://www.iprofesional.com/management/354392-sueldo-empleado-de-comercio-argentina-2022" TargetMode="External"/><Relationship Id="rId2" Type="http://schemas.openxmlformats.org/officeDocument/2006/relationships/hyperlink" Target="https://www.abproject.com.ar/es/landing/marketing-para-empresas" TargetMode="External"/><Relationship Id="rId16" Type="http://schemas.openxmlformats.org/officeDocument/2006/relationships/hyperlink" Target="https://www.iprofesional.com/management/354392-sueldo-empleado-de-comercio-argentina-2022" TargetMode="External"/><Relationship Id="rId20" Type="http://schemas.openxmlformats.org/officeDocument/2006/relationships/hyperlink" Target="http://www.enre.gov.ar/web/TARIFASD.nsf/2c0594d20466d3be0325823d006aecda/0bcaee58e935ab080325823b0068cc17?OpenDocument" TargetMode="External"/><Relationship Id="rId1" Type="http://schemas.openxmlformats.org/officeDocument/2006/relationships/hyperlink" Target="https://telecom.com.ar/pymes/productos/conectividad/Infinite?gclid=Cj0KCQjwtMCKBhDAARIsAG-2Eu-707954ChKbcOdkR5cKiyd9WwMOoOTuFt3zjvVAxWaOU8oPXMRGNIaAoCxEALw_wcB" TargetMode="External"/><Relationship Id="rId6" Type="http://schemas.openxmlformats.org/officeDocument/2006/relationships/hyperlink" Target="https://articulo.mercadolibre.com.ar/MLA-1162788258-conos-plasticos-11-cms-vacios-de-hilos-de-coser-x-36-unidade-_JM" TargetMode="External"/><Relationship Id="rId11" Type="http://schemas.openxmlformats.org/officeDocument/2006/relationships/hyperlink" Target="https://www.argentina.gob.ar/transporte/cnrt/transparencia/escalas-salariales" TargetMode="External"/><Relationship Id="rId24" Type="http://schemas.microsoft.com/office/2017/10/relationships/threadedComment" Target="../threadedComments/threadedComment2.xml"/><Relationship Id="rId5" Type="http://schemas.openxmlformats.org/officeDocument/2006/relationships/hyperlink" Target="https://articulo.mercadolibre.com.ar/MLA-906321472-bolsa-arranque-rolan-30-x-40-750-grs-bulto-x-6-rollos-_JM" TargetMode="External"/><Relationship Id="rId15" Type="http://schemas.openxmlformats.org/officeDocument/2006/relationships/hyperlink" Target="https://www.iprofesional.com/management/354392-sueldo-empleado-de-comercio-argentina-2022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setia.org.ar/pdf-setia/gremiales/convenio123-90/Escala%20salarial%20junio22-Mayo%202023%20FE%20DE%20ERRATAS.pdf" TargetMode="External"/><Relationship Id="rId19" Type="http://schemas.openxmlformats.org/officeDocument/2006/relationships/hyperlink" Target="https://www.iprofesional.com/management/354392-sueldo-empleado-de-comercio-argentina-2022" TargetMode="External"/><Relationship Id="rId4" Type="http://schemas.openxmlformats.org/officeDocument/2006/relationships/hyperlink" Target="https://articulo.mercadolibre.com.ar/MLA-927700472-12-rollos-de-etiquetas-termicas-troqueladas-de-100-x-190-mm-_JM" TargetMode="External"/><Relationship Id="rId9" Type="http://schemas.openxmlformats.org/officeDocument/2006/relationships/hyperlink" Target="https://www.uci.org.ar/calcular2.php" TargetMode="External"/><Relationship Id="rId14" Type="http://schemas.openxmlformats.org/officeDocument/2006/relationships/hyperlink" Target="https://www.argentina.gob.ar/transporte/cnrt/transparencia/escalas-salariales" TargetMode="External"/><Relationship Id="rId22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</sheetPr>
  <dimension ref="B1:AA1002"/>
  <sheetViews>
    <sheetView showGridLines="0" workbookViewId="0">
      <selection activeCell="K6" sqref="K6:O6"/>
    </sheetView>
  </sheetViews>
  <sheetFormatPr baseColWidth="10" defaultColWidth="12.7109375" defaultRowHeight="15" customHeight="1"/>
  <cols>
    <col min="1" max="1" width="4.140625" customWidth="1"/>
    <col min="2" max="2" width="19.28515625" customWidth="1"/>
    <col min="3" max="3" width="20.42578125" customWidth="1"/>
    <col min="4" max="7" width="17.42578125" bestFit="1" customWidth="1"/>
    <col min="8" max="8" width="3.7109375" customWidth="1"/>
    <col min="9" max="9" width="4" customWidth="1"/>
    <col min="10" max="10" width="21.42578125" customWidth="1"/>
    <col min="11" max="11" width="19.28515625" customWidth="1"/>
    <col min="12" max="12" width="18.7109375" customWidth="1"/>
    <col min="13" max="13" width="17.140625" customWidth="1"/>
    <col min="14" max="14" width="18.85546875" customWidth="1"/>
    <col min="15" max="15" width="17.85546875" customWidth="1"/>
    <col min="16" max="17" width="10.7109375" customWidth="1"/>
    <col min="18" max="18" width="23.140625" customWidth="1"/>
    <col min="19" max="27" width="10.7109375" customWidth="1"/>
  </cols>
  <sheetData>
    <row r="1" spans="2:27" ht="15" customHeight="1">
      <c r="C1">
        <f>C5*1000/2.5</f>
        <v>540000</v>
      </c>
    </row>
    <row r="2" spans="2:27" ht="12.75" customHeight="1">
      <c r="B2" s="948" t="s">
        <v>0</v>
      </c>
      <c r="C2" s="949"/>
      <c r="D2" s="949"/>
      <c r="E2" s="949"/>
      <c r="F2" s="949"/>
      <c r="G2" s="950"/>
      <c r="J2" s="254" t="s">
        <v>1</v>
      </c>
      <c r="K2" s="255" t="s">
        <v>2</v>
      </c>
      <c r="L2" s="255" t="s">
        <v>3</v>
      </c>
      <c r="M2" s="255" t="s">
        <v>4</v>
      </c>
      <c r="N2" s="255" t="s">
        <v>5</v>
      </c>
      <c r="O2" s="256" t="s">
        <v>6</v>
      </c>
    </row>
    <row r="3" spans="2:27" ht="12.75" customHeight="1">
      <c r="B3" s="146"/>
      <c r="C3" s="1"/>
      <c r="D3" s="1"/>
      <c r="E3" s="1"/>
      <c r="F3" s="1"/>
      <c r="G3" s="2"/>
      <c r="H3" s="3"/>
      <c r="I3" s="3"/>
      <c r="J3" s="257" t="s">
        <v>7</v>
      </c>
      <c r="K3" s="271">
        <f>1350</f>
        <v>1350</v>
      </c>
      <c r="L3" s="271">
        <f>D5</f>
        <v>1890</v>
      </c>
      <c r="M3" s="271">
        <f>E5</f>
        <v>1890</v>
      </c>
      <c r="N3" s="271">
        <f>F5</f>
        <v>1890</v>
      </c>
      <c r="O3" s="271">
        <f>G5</f>
        <v>1890</v>
      </c>
      <c r="S3" s="3"/>
      <c r="T3" s="3"/>
      <c r="U3" s="3"/>
      <c r="V3" s="3"/>
      <c r="W3" s="3"/>
      <c r="X3" s="3"/>
      <c r="Y3" s="3"/>
      <c r="Z3" s="3"/>
      <c r="AA3" s="3"/>
    </row>
    <row r="4" spans="2:27" ht="12.75" customHeight="1">
      <c r="B4" s="254" t="s">
        <v>1</v>
      </c>
      <c r="C4" s="255" t="s">
        <v>2</v>
      </c>
      <c r="D4" s="255" t="s">
        <v>3</v>
      </c>
      <c r="E4" s="255" t="s">
        <v>4</v>
      </c>
      <c r="F4" s="255" t="s">
        <v>5</v>
      </c>
      <c r="G4" s="256" t="s">
        <v>6</v>
      </c>
      <c r="J4" s="257" t="s">
        <v>8</v>
      </c>
      <c r="K4" s="272">
        <f>2.5</f>
        <v>2.5</v>
      </c>
      <c r="L4" s="272">
        <f>2.5</f>
        <v>2.5</v>
      </c>
      <c r="M4" s="272">
        <f>2.5</f>
        <v>2.5</v>
      </c>
      <c r="N4" s="272">
        <f>2.5</f>
        <v>2.5</v>
      </c>
      <c r="O4" s="272">
        <f>2.5</f>
        <v>2.5</v>
      </c>
    </row>
    <row r="5" spans="2:27" ht="12.75" customHeight="1">
      <c r="B5" s="257" t="s">
        <v>7</v>
      </c>
      <c r="C5" s="271">
        <v>1350</v>
      </c>
      <c r="D5" s="271">
        <f>1890</f>
        <v>1890</v>
      </c>
      <c r="E5" s="271">
        <f>1890</f>
        <v>1890</v>
      </c>
      <c r="F5" s="271">
        <f>1890</f>
        <v>1890</v>
      </c>
      <c r="G5" s="271">
        <f>1890</f>
        <v>1890</v>
      </c>
      <c r="J5" s="257" t="s">
        <v>9</v>
      </c>
      <c r="K5" s="271">
        <f>(K3*1000)/K4</f>
        <v>540000</v>
      </c>
      <c r="L5" s="271">
        <f>(L3*1000)/L4</f>
        <v>756000</v>
      </c>
      <c r="M5" s="271">
        <f>(M3*1000)/M4</f>
        <v>756000</v>
      </c>
      <c r="N5" s="271">
        <f>(N3*1000)/N4</f>
        <v>756000</v>
      </c>
      <c r="O5" s="271">
        <f>(O3*1000)/O4</f>
        <v>756000</v>
      </c>
    </row>
    <row r="6" spans="2:27" ht="12.75" customHeight="1">
      <c r="B6" s="257" t="s">
        <v>10</v>
      </c>
      <c r="C6" s="272">
        <f>2.5</f>
        <v>2.5</v>
      </c>
      <c r="D6" s="272">
        <f>2.5</f>
        <v>2.5</v>
      </c>
      <c r="E6" s="272">
        <f>2.5</f>
        <v>2.5</v>
      </c>
      <c r="F6" s="272">
        <f>2.5</f>
        <v>2.5</v>
      </c>
      <c r="G6" s="272">
        <f>2.5</f>
        <v>2.5</v>
      </c>
      <c r="J6" s="258" t="s">
        <v>11</v>
      </c>
      <c r="K6" s="271">
        <f>1050*1.15</f>
        <v>1207.5</v>
      </c>
      <c r="L6" s="271">
        <f t="shared" ref="L6:O6" si="0">1050*1.15</f>
        <v>1207.5</v>
      </c>
      <c r="M6" s="271">
        <f t="shared" si="0"/>
        <v>1207.5</v>
      </c>
      <c r="N6" s="271">
        <f t="shared" si="0"/>
        <v>1207.5</v>
      </c>
      <c r="O6" s="271">
        <f t="shared" si="0"/>
        <v>1207.5</v>
      </c>
    </row>
    <row r="7" spans="2:27" ht="12.75" customHeight="1">
      <c r="B7" s="257" t="s">
        <v>9</v>
      </c>
      <c r="C7" s="271">
        <f>(C5*1000)/C6</f>
        <v>540000</v>
      </c>
      <c r="D7" s="271">
        <f>(D5*1000)/D6</f>
        <v>756000</v>
      </c>
      <c r="E7" s="271">
        <f>(E5*1000)/E6</f>
        <v>756000</v>
      </c>
      <c r="F7" s="271">
        <f>(F5*1000)/F6</f>
        <v>756000</v>
      </c>
      <c r="G7" s="271">
        <f>(G5*1000)/G6</f>
        <v>756000</v>
      </c>
      <c r="J7" s="259" t="s">
        <v>12</v>
      </c>
      <c r="K7" s="273">
        <f>K6*K3*1000</f>
        <v>1630125000</v>
      </c>
      <c r="L7" s="273">
        <f>L6*L3*1000</f>
        <v>2282175000</v>
      </c>
      <c r="M7" s="273">
        <f>M6*M3*1000</f>
        <v>2282175000</v>
      </c>
      <c r="N7" s="273">
        <f>N6*N3*1000</f>
        <v>2282175000</v>
      </c>
      <c r="O7" s="273">
        <f>O6*O3*1000</f>
        <v>2282175000</v>
      </c>
    </row>
    <row r="8" spans="2:27" ht="12.75" customHeight="1">
      <c r="B8" s="258" t="s">
        <v>11</v>
      </c>
      <c r="C8" s="271">
        <f>1050*1.15</f>
        <v>1207.5</v>
      </c>
      <c r="D8" s="271">
        <f t="shared" ref="D8:G8" si="1">1050*1.15</f>
        <v>1207.5</v>
      </c>
      <c r="E8" s="271">
        <f t="shared" si="1"/>
        <v>1207.5</v>
      </c>
      <c r="F8" s="271">
        <f t="shared" si="1"/>
        <v>1207.5</v>
      </c>
      <c r="G8" s="271">
        <f t="shared" si="1"/>
        <v>1207.5</v>
      </c>
      <c r="K8" s="232">
        <f>K7/K5</f>
        <v>3018.75</v>
      </c>
      <c r="L8" s="232">
        <f>L7/L5</f>
        <v>3018.75</v>
      </c>
      <c r="M8" s="232">
        <f>M7/M5</f>
        <v>3018.75</v>
      </c>
      <c r="N8" s="232">
        <f>N7/N5</f>
        <v>3018.75</v>
      </c>
      <c r="O8" s="232">
        <f>O7/O5</f>
        <v>3018.75</v>
      </c>
    </row>
    <row r="9" spans="2:27" ht="12.75" customHeight="1">
      <c r="B9" s="259" t="s">
        <v>12</v>
      </c>
      <c r="C9" s="273">
        <f>C8*2.5*C7</f>
        <v>1630125000</v>
      </c>
      <c r="D9" s="273">
        <f>D8*2.5*D7</f>
        <v>2282175000</v>
      </c>
      <c r="E9" s="273">
        <f>E8*2.5*E7</f>
        <v>2282175000</v>
      </c>
      <c r="F9" s="273">
        <f>F8*2.5*F7</f>
        <v>2282175000</v>
      </c>
      <c r="G9" s="273">
        <f>G8*2.5*G7</f>
        <v>2282175000</v>
      </c>
    </row>
    <row r="10" spans="2:27" ht="12.75" customHeight="1">
      <c r="B10" s="7"/>
      <c r="C10" s="8">
        <f>C8*2.5</f>
        <v>3018.75</v>
      </c>
      <c r="D10" s="8"/>
      <c r="E10" s="8"/>
      <c r="F10" s="8"/>
      <c r="G10" s="9"/>
      <c r="J10" s="951" t="s">
        <v>13</v>
      </c>
      <c r="K10" s="952"/>
      <c r="L10" s="952"/>
      <c r="M10" s="952"/>
      <c r="N10" s="953"/>
    </row>
    <row r="11" spans="2:27" ht="12.75" customHeight="1">
      <c r="J11" s="266"/>
      <c r="K11" s="267" t="s">
        <v>14</v>
      </c>
      <c r="L11" s="267" t="s">
        <v>15</v>
      </c>
      <c r="M11" s="267" t="s">
        <v>16</v>
      </c>
      <c r="N11" s="268" t="s">
        <v>17</v>
      </c>
      <c r="O11" s="3"/>
    </row>
    <row r="12" spans="2:27" ht="12.75" customHeight="1">
      <c r="B12" s="948" t="s">
        <v>18</v>
      </c>
      <c r="C12" s="949"/>
      <c r="D12" s="949"/>
      <c r="E12" s="949"/>
      <c r="F12" s="949"/>
      <c r="G12" s="950"/>
      <c r="J12" s="277" t="s">
        <v>19</v>
      </c>
      <c r="K12" s="278">
        <v>0</v>
      </c>
      <c r="L12" s="279">
        <f>1598*1000</f>
        <v>1598000</v>
      </c>
      <c r="M12" s="280">
        <f>1000*L3</f>
        <v>1890000</v>
      </c>
      <c r="N12" s="281" t="s">
        <v>20</v>
      </c>
      <c r="O12">
        <f>1617*1000</f>
        <v>1617000</v>
      </c>
    </row>
    <row r="13" spans="2:27" ht="12.75" customHeight="1">
      <c r="B13" s="147" t="s">
        <v>21</v>
      </c>
      <c r="C13" s="155" t="s">
        <v>22</v>
      </c>
      <c r="D13" s="10"/>
      <c r="E13" s="3"/>
      <c r="F13" s="3"/>
      <c r="G13" s="11"/>
      <c r="J13" s="282" t="s">
        <v>23</v>
      </c>
      <c r="K13" s="278">
        <v>0</v>
      </c>
      <c r="L13" s="279">
        <f>37.058824*1000</f>
        <v>37058.824000000001</v>
      </c>
      <c r="M13" s="283">
        <f>1000*37.0588235</f>
        <v>37058.823500000006</v>
      </c>
      <c r="N13" s="281" t="s">
        <v>20</v>
      </c>
    </row>
    <row r="14" spans="2:27" ht="12.75" customHeight="1">
      <c r="B14" s="12" t="s">
        <v>24</v>
      </c>
      <c r="C14" s="3"/>
      <c r="D14" s="3"/>
      <c r="E14" s="3"/>
      <c r="F14" s="3"/>
      <c r="G14" s="11"/>
      <c r="J14" s="282" t="s">
        <v>25</v>
      </c>
      <c r="K14" s="278">
        <v>0</v>
      </c>
      <c r="L14" s="585">
        <f>1617*1000</f>
        <v>1617000</v>
      </c>
      <c r="M14" s="284">
        <f>1000*1890</f>
        <v>1890000</v>
      </c>
      <c r="N14" s="281" t="s">
        <v>20</v>
      </c>
      <c r="Q14" s="3"/>
      <c r="R14" s="3"/>
      <c r="S14" s="3"/>
      <c r="T14" s="3"/>
      <c r="U14" s="3"/>
      <c r="V14" s="3"/>
    </row>
    <row r="15" spans="2:27" ht="12.75" customHeight="1">
      <c r="B15" s="260" t="s">
        <v>26</v>
      </c>
      <c r="C15" s="13">
        <v>141</v>
      </c>
      <c r="D15" s="3" t="s">
        <v>27</v>
      </c>
      <c r="E15" s="3"/>
      <c r="F15" s="3"/>
      <c r="G15" s="11"/>
      <c r="J15" s="285" t="s">
        <v>28</v>
      </c>
      <c r="K15" s="278">
        <v>0</v>
      </c>
      <c r="L15" s="279">
        <v>0</v>
      </c>
      <c r="M15" s="283">
        <v>0</v>
      </c>
      <c r="N15" s="281" t="s">
        <v>20</v>
      </c>
      <c r="Q15" s="3"/>
      <c r="R15" s="3"/>
      <c r="S15" s="3"/>
      <c r="T15" s="3"/>
      <c r="U15" s="3"/>
      <c r="V15" s="3"/>
    </row>
    <row r="16" spans="2:27" ht="12.75" customHeight="1">
      <c r="B16" s="257" t="s">
        <v>29</v>
      </c>
      <c r="C16" s="274">
        <v>149</v>
      </c>
      <c r="D16" s="3" t="s">
        <v>27</v>
      </c>
      <c r="E16" s="3"/>
      <c r="F16" s="3"/>
      <c r="G16" s="11"/>
      <c r="J16" s="285" t="s">
        <v>30</v>
      </c>
      <c r="K16" s="278">
        <v>0</v>
      </c>
      <c r="L16" s="279">
        <f>1000*42</f>
        <v>42000</v>
      </c>
      <c r="M16" s="283">
        <f>1000*42</f>
        <v>42000</v>
      </c>
      <c r="N16" s="281" t="s">
        <v>20</v>
      </c>
      <c r="O16" t="s">
        <v>31</v>
      </c>
      <c r="Q16" s="3"/>
      <c r="R16" s="3"/>
      <c r="S16" s="3"/>
      <c r="T16" s="3"/>
      <c r="U16" s="3"/>
      <c r="V16" s="3"/>
    </row>
    <row r="17" spans="2:27" ht="12.75" customHeight="1">
      <c r="B17" s="261" t="s">
        <v>32</v>
      </c>
      <c r="C17" s="275">
        <f>AVERAGE(C15:C16)</f>
        <v>145</v>
      </c>
      <c r="D17" s="8" t="s">
        <v>27</v>
      </c>
      <c r="E17" s="8"/>
      <c r="F17" s="8"/>
      <c r="G17" s="9"/>
      <c r="J17" s="285" t="s">
        <v>33</v>
      </c>
      <c r="K17" s="278">
        <v>0</v>
      </c>
      <c r="L17" s="278">
        <f>1000*1659</f>
        <v>1659000</v>
      </c>
      <c r="M17" s="278">
        <f>1000*1890</f>
        <v>1890000</v>
      </c>
      <c r="N17" s="281" t="s">
        <v>20</v>
      </c>
      <c r="Q17" s="3"/>
      <c r="R17" s="3"/>
      <c r="S17" s="3"/>
      <c r="T17" s="3"/>
      <c r="U17" s="3"/>
      <c r="V17" s="3"/>
    </row>
    <row r="18" spans="2:27" ht="12.75" customHeight="1">
      <c r="B18" s="3"/>
      <c r="C18" s="3"/>
      <c r="D18" s="3"/>
      <c r="E18" s="3"/>
      <c r="F18" s="3"/>
      <c r="G18" s="3"/>
      <c r="J18" s="285" t="s">
        <v>34</v>
      </c>
      <c r="K18" s="278">
        <v>0</v>
      </c>
      <c r="L18" s="278">
        <f>1000*165</f>
        <v>165000</v>
      </c>
      <c r="M18" s="278">
        <f>1000*165</f>
        <v>165000</v>
      </c>
      <c r="N18" s="281" t="s">
        <v>20</v>
      </c>
      <c r="Q18" s="3"/>
      <c r="R18" s="3"/>
      <c r="S18" s="3"/>
      <c r="T18" s="3"/>
      <c r="U18" s="3"/>
      <c r="V18" s="3"/>
    </row>
    <row r="19" spans="2:27" ht="12.75" customHeight="1">
      <c r="B19" s="262" t="s">
        <v>35</v>
      </c>
      <c r="C19" s="263"/>
      <c r="D19" s="276"/>
      <c r="E19" s="263"/>
      <c r="F19" s="263"/>
      <c r="G19" s="264"/>
      <c r="J19" s="285" t="s">
        <v>36</v>
      </c>
      <c r="K19" s="569">
        <v>1616.5531900000001</v>
      </c>
      <c r="L19" s="278">
        <f>1000*208</f>
        <v>208000</v>
      </c>
      <c r="M19" s="278">
        <f>1000*1682</f>
        <v>1682000</v>
      </c>
      <c r="N19" s="281" t="s">
        <v>20</v>
      </c>
      <c r="Q19" s="3"/>
      <c r="R19" s="3"/>
      <c r="S19" s="3"/>
      <c r="T19" s="3"/>
      <c r="U19" s="3"/>
      <c r="V19" s="3"/>
    </row>
    <row r="20" spans="2:27" ht="12.75" customHeight="1">
      <c r="B20" s="147" t="s">
        <v>21</v>
      </c>
      <c r="C20" s="148" t="s">
        <v>37</v>
      </c>
      <c r="D20" s="3"/>
      <c r="E20" s="3"/>
      <c r="F20" s="3"/>
      <c r="G20" s="3"/>
      <c r="H20" s="3"/>
      <c r="I20" s="3"/>
      <c r="J20" s="285" t="s">
        <v>38</v>
      </c>
      <c r="K20" s="278">
        <f>ROUNDUP(K19/C6,0)</f>
        <v>647</v>
      </c>
      <c r="L20" s="278"/>
      <c r="M20" s="278"/>
      <c r="N20" s="281" t="s">
        <v>39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3"/>
      <c r="C21" s="3"/>
      <c r="D21" s="3"/>
      <c r="E21" s="3"/>
      <c r="F21" s="3"/>
      <c r="G21" s="3"/>
      <c r="H21" s="3"/>
      <c r="I21" s="180"/>
      <c r="J21" s="159"/>
      <c r="K21" s="954" t="s">
        <v>40</v>
      </c>
      <c r="L21" s="955"/>
      <c r="M21" s="955"/>
      <c r="N21" s="956"/>
      <c r="O21" s="15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260" t="s">
        <v>41</v>
      </c>
      <c r="C22" s="17">
        <v>0.75</v>
      </c>
      <c r="D22" s="3" t="s">
        <v>42</v>
      </c>
      <c r="E22" s="3"/>
      <c r="F22" s="14" t="s">
        <v>43</v>
      </c>
      <c r="G22" s="15">
        <f>L16/L17</f>
        <v>2.5316455696202531E-2</v>
      </c>
      <c r="H22" s="3"/>
      <c r="I22" s="180"/>
      <c r="K22" s="269"/>
      <c r="L22" s="269" t="s">
        <v>2</v>
      </c>
      <c r="M22" s="270" t="s">
        <v>16</v>
      </c>
      <c r="N22" s="270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260" t="s">
        <v>44</v>
      </c>
      <c r="C23" s="13">
        <v>80</v>
      </c>
      <c r="D23" s="3" t="s">
        <v>42</v>
      </c>
      <c r="E23" s="3"/>
      <c r="F23" s="16" t="s">
        <v>43</v>
      </c>
      <c r="G23" s="15">
        <f>M16/M17</f>
        <v>2.2222222222222223E-2</v>
      </c>
      <c r="H23" s="3"/>
      <c r="I23" s="180"/>
      <c r="K23" s="277" t="s">
        <v>19</v>
      </c>
      <c r="L23" s="184">
        <f>L12/4</f>
        <v>399500</v>
      </c>
      <c r="M23" s="185">
        <f>M12/4</f>
        <v>472500</v>
      </c>
      <c r="N23" s="186" t="s">
        <v>45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265" t="s">
        <v>46</v>
      </c>
      <c r="C24" s="149">
        <v>0.02</v>
      </c>
      <c r="D24" s="3"/>
      <c r="E24" s="3"/>
      <c r="F24" s="3"/>
      <c r="G24" s="3"/>
      <c r="I24" s="159"/>
      <c r="K24" s="282" t="s">
        <v>23</v>
      </c>
      <c r="L24" s="184">
        <f t="shared" ref="L24:M30" si="2">L13/4</f>
        <v>9264.7060000000001</v>
      </c>
      <c r="M24" s="185">
        <f t="shared" si="2"/>
        <v>9264.7058750000015</v>
      </c>
      <c r="N24" s="186" t="s">
        <v>45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18"/>
      <c r="C25" s="3"/>
      <c r="D25" s="3"/>
      <c r="I25" s="159"/>
      <c r="K25" s="282" t="s">
        <v>25</v>
      </c>
      <c r="L25" s="184">
        <f t="shared" si="2"/>
        <v>404250</v>
      </c>
      <c r="M25" s="185">
        <f t="shared" si="2"/>
        <v>472500</v>
      </c>
      <c r="N25" s="186" t="s">
        <v>45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18"/>
      <c r="C26" s="180"/>
      <c r="D26" s="180"/>
      <c r="I26" s="159"/>
      <c r="K26" s="285" t="s">
        <v>28</v>
      </c>
      <c r="L26" s="184">
        <f t="shared" si="2"/>
        <v>0</v>
      </c>
      <c r="M26" s="185">
        <f t="shared" si="2"/>
        <v>0</v>
      </c>
      <c r="N26" s="186" t="s">
        <v>45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65" t="s">
        <v>47</v>
      </c>
      <c r="C27">
        <f>47.8*2+35.81*2</f>
        <v>167.22</v>
      </c>
      <c r="D27" s="159" t="s">
        <v>48</v>
      </c>
      <c r="I27" s="159"/>
      <c r="K27" s="285" t="s">
        <v>30</v>
      </c>
      <c r="L27" s="184">
        <f t="shared" si="2"/>
        <v>10500</v>
      </c>
      <c r="M27" s="185">
        <f t="shared" si="2"/>
        <v>10500</v>
      </c>
      <c r="N27" s="186" t="s">
        <v>45</v>
      </c>
      <c r="O27" s="18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t="s">
        <v>49</v>
      </c>
      <c r="C28" s="159"/>
      <c r="D28" s="159"/>
      <c r="K28" s="285" t="s">
        <v>33</v>
      </c>
      <c r="L28" s="184">
        <f>L17/4</f>
        <v>414750</v>
      </c>
      <c r="M28" s="185">
        <f t="shared" si="2"/>
        <v>472500</v>
      </c>
      <c r="N28" s="186" t="s">
        <v>45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 customHeight="1">
      <c r="K29" s="285" t="s">
        <v>34</v>
      </c>
      <c r="L29" s="184">
        <f t="shared" si="2"/>
        <v>41250</v>
      </c>
      <c r="M29" s="185">
        <f t="shared" si="2"/>
        <v>41250</v>
      </c>
      <c r="N29" s="186" t="s">
        <v>45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 customHeight="1">
      <c r="D30" t="s">
        <v>50</v>
      </c>
      <c r="E30" t="s">
        <v>51</v>
      </c>
      <c r="F30" t="s">
        <v>52</v>
      </c>
      <c r="G30" t="s">
        <v>53</v>
      </c>
      <c r="K30" s="285" t="s">
        <v>36</v>
      </c>
      <c r="L30" s="184">
        <f t="shared" si="2"/>
        <v>52000</v>
      </c>
      <c r="M30" s="185">
        <f t="shared" si="2"/>
        <v>420500</v>
      </c>
      <c r="N30" s="186" t="s">
        <v>45</v>
      </c>
      <c r="P30" s="180"/>
    </row>
    <row r="31" spans="2:27" ht="12.75" customHeight="1">
      <c r="B31" s="946" t="s">
        <v>54</v>
      </c>
      <c r="C31" s="947"/>
      <c r="D31">
        <v>3</v>
      </c>
      <c r="E31">
        <v>8</v>
      </c>
      <c r="F31">
        <v>20</v>
      </c>
      <c r="G31">
        <f>D31*F31*E31</f>
        <v>480</v>
      </c>
      <c r="P31" s="180"/>
    </row>
    <row r="32" spans="2:27" ht="12.75" customHeight="1">
      <c r="P32" s="180"/>
    </row>
    <row r="33" spans="2:2" ht="12.75" customHeight="1">
      <c r="B33" s="3"/>
    </row>
    <row r="34" spans="2:2" ht="12.75" customHeight="1">
      <c r="B34" s="3"/>
    </row>
    <row r="35" spans="2:2" ht="12.75" customHeight="1">
      <c r="B35" s="3"/>
    </row>
    <row r="36" spans="2:2" ht="12.75" customHeight="1">
      <c r="B36" s="3"/>
    </row>
    <row r="37" spans="2:2" ht="12.75" customHeight="1">
      <c r="B37" s="3"/>
    </row>
    <row r="38" spans="2:2" ht="12.75" customHeight="1">
      <c r="B38" s="3"/>
    </row>
    <row r="39" spans="2:2" ht="12.75" customHeight="1">
      <c r="B39" s="3"/>
    </row>
    <row r="40" spans="2:2" ht="12.75" customHeight="1">
      <c r="B40" s="3"/>
    </row>
    <row r="41" spans="2:2" ht="12.75" customHeight="1">
      <c r="B41" s="3"/>
    </row>
    <row r="42" spans="2:2" ht="12.75" customHeight="1">
      <c r="B42" s="3"/>
    </row>
    <row r="43" spans="2:2" ht="12.75" customHeight="1">
      <c r="B43" s="3"/>
    </row>
    <row r="44" spans="2:2" ht="12.75" customHeight="1">
      <c r="B44" s="3"/>
    </row>
    <row r="45" spans="2:2" ht="12.75" customHeight="1">
      <c r="B45" s="3"/>
    </row>
    <row r="46" spans="2:2" ht="12.75" customHeight="1">
      <c r="B46" s="3"/>
    </row>
    <row r="47" spans="2:2" ht="12.75" customHeight="1">
      <c r="B47" s="3"/>
    </row>
    <row r="48" spans="2:2" ht="12.75" customHeight="1">
      <c r="B48" s="3"/>
    </row>
    <row r="49" spans="2:2" ht="12.75" customHeight="1">
      <c r="B49" s="3"/>
    </row>
    <row r="50" spans="2:2" ht="12.75" customHeight="1">
      <c r="B50" s="3"/>
    </row>
    <row r="51" spans="2:2" ht="12.75" customHeight="1">
      <c r="B51" s="3"/>
    </row>
    <row r="52" spans="2:2" ht="12.75" customHeight="1">
      <c r="B52" s="3"/>
    </row>
    <row r="53" spans="2:2" ht="12.75" customHeight="1">
      <c r="B53" s="3"/>
    </row>
    <row r="54" spans="2:2" ht="12.75" customHeight="1">
      <c r="B54" s="3"/>
    </row>
    <row r="55" spans="2:2" ht="12.75" customHeight="1">
      <c r="B55" s="3"/>
    </row>
    <row r="56" spans="2:2" ht="12.75" customHeight="1">
      <c r="B56" s="3"/>
    </row>
    <row r="57" spans="2:2" ht="12.75" customHeight="1">
      <c r="B57" s="3"/>
    </row>
    <row r="58" spans="2:2" ht="12.75" customHeight="1">
      <c r="B58" s="3"/>
    </row>
    <row r="59" spans="2:2" ht="12.75" customHeight="1">
      <c r="B59" s="3"/>
    </row>
    <row r="60" spans="2:2" ht="12.75" customHeight="1">
      <c r="B60" s="3"/>
    </row>
    <row r="61" spans="2:2" ht="12.75" customHeight="1">
      <c r="B61" s="3"/>
    </row>
    <row r="62" spans="2:2" ht="12.75" customHeight="1">
      <c r="B62" s="3"/>
    </row>
    <row r="63" spans="2:2" ht="12.75" customHeight="1">
      <c r="B63" s="3"/>
    </row>
    <row r="64" spans="2:2" ht="12.75" customHeight="1">
      <c r="B64" s="3"/>
    </row>
    <row r="65" spans="2:2" ht="12.75" customHeight="1">
      <c r="B65" s="3"/>
    </row>
    <row r="66" spans="2:2" ht="12.75" customHeight="1">
      <c r="B66" s="3"/>
    </row>
    <row r="67" spans="2:2" ht="12.75" customHeight="1">
      <c r="B67" s="3"/>
    </row>
    <row r="68" spans="2:2" ht="12.75" customHeight="1">
      <c r="B68" s="3"/>
    </row>
    <row r="69" spans="2:2" ht="12.75" customHeight="1">
      <c r="B69" s="3"/>
    </row>
    <row r="70" spans="2:2" ht="12.75" customHeight="1">
      <c r="B70" s="3"/>
    </row>
    <row r="71" spans="2:2" ht="12.75" customHeight="1">
      <c r="B71" s="3"/>
    </row>
    <row r="72" spans="2:2" ht="12.75" customHeight="1">
      <c r="B72" s="3"/>
    </row>
    <row r="73" spans="2:2" ht="12.75" customHeight="1">
      <c r="B73" s="3"/>
    </row>
    <row r="74" spans="2:2" ht="12.75" customHeight="1">
      <c r="B74" s="3"/>
    </row>
    <row r="75" spans="2:2" ht="12.75" customHeight="1">
      <c r="B75" s="3"/>
    </row>
    <row r="76" spans="2:2" ht="12.75" customHeight="1">
      <c r="B76" s="3"/>
    </row>
    <row r="77" spans="2:2" ht="12.75" customHeight="1">
      <c r="B77" s="3"/>
    </row>
    <row r="78" spans="2:2" ht="12.75" customHeight="1">
      <c r="B78" s="3"/>
    </row>
    <row r="79" spans="2:2" ht="12.75" customHeight="1">
      <c r="B79" s="3"/>
    </row>
    <row r="80" spans="2:2" ht="12.75" customHeight="1">
      <c r="B80" s="3"/>
    </row>
    <row r="81" spans="2:2" ht="12.75" customHeight="1">
      <c r="B81" s="3"/>
    </row>
    <row r="82" spans="2:2" ht="12.75" customHeight="1">
      <c r="B82" s="3"/>
    </row>
    <row r="83" spans="2:2" ht="12.75" customHeight="1">
      <c r="B83" s="3"/>
    </row>
    <row r="84" spans="2:2" ht="12.75" customHeight="1">
      <c r="B84" s="3"/>
    </row>
    <row r="85" spans="2:2" ht="12.75" customHeight="1">
      <c r="B85" s="3"/>
    </row>
    <row r="86" spans="2:2" ht="12.75" customHeight="1">
      <c r="B86" s="3"/>
    </row>
    <row r="87" spans="2:2" ht="12.75" customHeight="1">
      <c r="B87" s="3"/>
    </row>
    <row r="88" spans="2:2" ht="12.75" customHeight="1">
      <c r="B88" s="3"/>
    </row>
    <row r="89" spans="2:2" ht="12.75" customHeight="1">
      <c r="B89" s="3"/>
    </row>
    <row r="90" spans="2:2" ht="12.75" customHeight="1">
      <c r="B90" s="3"/>
    </row>
    <row r="91" spans="2:2" ht="12.75" customHeight="1">
      <c r="B91" s="3"/>
    </row>
    <row r="92" spans="2:2" ht="12.75" customHeight="1">
      <c r="B92" s="3"/>
    </row>
    <row r="93" spans="2:2" ht="12.75" customHeight="1">
      <c r="B93" s="3"/>
    </row>
    <row r="94" spans="2:2" ht="12.75" customHeight="1">
      <c r="B94" s="3"/>
    </row>
    <row r="95" spans="2:2" ht="12.75" customHeight="1">
      <c r="B95" s="3"/>
    </row>
    <row r="96" spans="2:2" ht="12.75" customHeight="1">
      <c r="B96" s="3"/>
    </row>
    <row r="97" spans="2:2" ht="12.75" customHeight="1">
      <c r="B97" s="3"/>
    </row>
    <row r="98" spans="2:2" ht="12.75" customHeight="1">
      <c r="B98" s="3"/>
    </row>
    <row r="99" spans="2:2" ht="12.75" customHeight="1">
      <c r="B99" s="3"/>
    </row>
    <row r="100" spans="2:2" ht="12.75" customHeight="1">
      <c r="B100" s="3"/>
    </row>
    <row r="101" spans="2:2" ht="12.75" customHeight="1">
      <c r="B101" s="3"/>
    </row>
    <row r="102" spans="2:2" ht="12.75" customHeight="1">
      <c r="B102" s="3"/>
    </row>
    <row r="103" spans="2:2" ht="12.75" customHeight="1">
      <c r="B103" s="3"/>
    </row>
    <row r="104" spans="2:2" ht="12.75" customHeight="1">
      <c r="B104" s="3"/>
    </row>
    <row r="105" spans="2:2" ht="12.75" customHeight="1">
      <c r="B105" s="3"/>
    </row>
    <row r="106" spans="2:2" ht="12.75" customHeight="1">
      <c r="B106" s="3"/>
    </row>
    <row r="107" spans="2:2" ht="12.75" customHeight="1">
      <c r="B107" s="3"/>
    </row>
    <row r="108" spans="2:2" ht="12.75" customHeight="1">
      <c r="B108" s="3"/>
    </row>
    <row r="109" spans="2:2" ht="12.75" customHeight="1">
      <c r="B109" s="3"/>
    </row>
    <row r="110" spans="2:2" ht="12.75" customHeight="1">
      <c r="B110" s="3"/>
    </row>
    <row r="111" spans="2:2" ht="12.75" customHeight="1">
      <c r="B111" s="3"/>
    </row>
    <row r="112" spans="2:2" ht="12.75" customHeight="1">
      <c r="B112" s="3"/>
    </row>
    <row r="113" spans="2:2" ht="12.75" customHeight="1">
      <c r="B113" s="3"/>
    </row>
    <row r="114" spans="2:2" ht="12.75" customHeight="1">
      <c r="B114" s="3"/>
    </row>
    <row r="115" spans="2:2" ht="12.75" customHeight="1">
      <c r="B115" s="3"/>
    </row>
    <row r="116" spans="2:2" ht="12.75" customHeight="1">
      <c r="B116" s="3"/>
    </row>
    <row r="117" spans="2:2" ht="12.75" customHeight="1">
      <c r="B117" s="3"/>
    </row>
    <row r="118" spans="2:2" ht="12.75" customHeight="1">
      <c r="B118" s="3"/>
    </row>
    <row r="119" spans="2:2" ht="12.75" customHeight="1">
      <c r="B119" s="3"/>
    </row>
    <row r="120" spans="2:2" ht="12.75" customHeight="1">
      <c r="B120" s="3"/>
    </row>
    <row r="121" spans="2:2" ht="12.75" customHeight="1">
      <c r="B121" s="3"/>
    </row>
    <row r="122" spans="2:2" ht="12.75" customHeight="1">
      <c r="B122" s="3"/>
    </row>
    <row r="123" spans="2:2" ht="12.75" customHeight="1">
      <c r="B123" s="3"/>
    </row>
    <row r="124" spans="2:2" ht="12.75" customHeight="1">
      <c r="B124" s="3"/>
    </row>
    <row r="125" spans="2:2" ht="12.75" customHeight="1">
      <c r="B125" s="3"/>
    </row>
    <row r="126" spans="2:2" ht="12.75" customHeight="1">
      <c r="B126" s="3"/>
    </row>
    <row r="127" spans="2:2" ht="12.75" customHeight="1">
      <c r="B127" s="3"/>
    </row>
    <row r="128" spans="2:2" ht="12.75" customHeight="1">
      <c r="B128" s="3"/>
    </row>
    <row r="129" spans="2:2" ht="12.75" customHeight="1">
      <c r="B129" s="3"/>
    </row>
    <row r="130" spans="2:2" ht="12.75" customHeight="1">
      <c r="B130" s="3"/>
    </row>
    <row r="131" spans="2:2" ht="12.75" customHeight="1">
      <c r="B131" s="3"/>
    </row>
    <row r="132" spans="2:2" ht="12.75" customHeight="1">
      <c r="B132" s="3"/>
    </row>
    <row r="133" spans="2:2" ht="12.75" customHeight="1">
      <c r="B133" s="3"/>
    </row>
    <row r="134" spans="2:2" ht="12.75" customHeight="1">
      <c r="B134" s="3"/>
    </row>
    <row r="135" spans="2:2" ht="12.75" customHeight="1">
      <c r="B135" s="3"/>
    </row>
    <row r="136" spans="2:2" ht="12.75" customHeight="1">
      <c r="B136" s="3"/>
    </row>
    <row r="137" spans="2:2" ht="12.75" customHeight="1">
      <c r="B137" s="3"/>
    </row>
    <row r="138" spans="2:2" ht="12.75" customHeight="1">
      <c r="B138" s="3"/>
    </row>
    <row r="139" spans="2:2" ht="12.75" customHeight="1">
      <c r="B139" s="3"/>
    </row>
    <row r="140" spans="2:2" ht="12.75" customHeight="1">
      <c r="B140" s="3"/>
    </row>
    <row r="141" spans="2:2" ht="12.75" customHeight="1">
      <c r="B141" s="3"/>
    </row>
    <row r="142" spans="2:2" ht="12.75" customHeight="1">
      <c r="B142" s="3"/>
    </row>
    <row r="143" spans="2:2" ht="12.75" customHeight="1">
      <c r="B143" s="3"/>
    </row>
    <row r="144" spans="2:2" ht="12.75" customHeight="1">
      <c r="B144" s="3"/>
    </row>
    <row r="145" spans="2:2" ht="12.75" customHeight="1">
      <c r="B145" s="3"/>
    </row>
    <row r="146" spans="2:2" ht="12.75" customHeight="1">
      <c r="B146" s="3"/>
    </row>
    <row r="147" spans="2:2" ht="12.75" customHeight="1">
      <c r="B147" s="3"/>
    </row>
    <row r="148" spans="2:2" ht="12.75" customHeight="1">
      <c r="B148" s="3"/>
    </row>
    <row r="149" spans="2:2" ht="12.75" customHeight="1">
      <c r="B149" s="3"/>
    </row>
    <row r="150" spans="2:2" ht="12.75" customHeight="1"/>
    <row r="151" spans="2:2" ht="12.75" customHeight="1"/>
    <row r="152" spans="2:2" ht="12.75" customHeight="1"/>
    <row r="153" spans="2:2" ht="12.75" customHeight="1"/>
    <row r="154" spans="2:2" ht="12.75" customHeight="1"/>
    <row r="155" spans="2:2" ht="12.75" customHeight="1"/>
    <row r="156" spans="2:2" ht="12.75" customHeight="1"/>
    <row r="157" spans="2:2" ht="12.75" customHeight="1"/>
    <row r="158" spans="2:2" ht="12.75" customHeight="1"/>
    <row r="159" spans="2:2" ht="12.75" customHeight="1"/>
    <row r="160" spans="2: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18:18" ht="15.75" customHeight="1"/>
    <row r="994" spans="18:18" ht="15.75" customHeight="1"/>
    <row r="995" spans="18:18" ht="15.75" customHeight="1"/>
    <row r="996" spans="18:18" ht="15.75" customHeight="1"/>
    <row r="997" spans="18:18" ht="15.75" customHeight="1"/>
    <row r="998" spans="18:18" ht="15.75" customHeight="1"/>
    <row r="999" spans="18:18" ht="15.75" customHeight="1"/>
    <row r="1000" spans="18:18" ht="15.75" customHeight="1"/>
    <row r="1001" spans="18:18" ht="15.75" customHeight="1"/>
    <row r="1002" spans="18:18" ht="15.75" customHeight="1">
      <c r="R1002" s="4" t="s">
        <v>55</v>
      </c>
    </row>
  </sheetData>
  <mergeCells count="5">
    <mergeCell ref="B31:C31"/>
    <mergeCell ref="B2:G2"/>
    <mergeCell ref="B12:G12"/>
    <mergeCell ref="J10:N10"/>
    <mergeCell ref="K21:N21"/>
  </mergeCells>
  <hyperlinks>
    <hyperlink ref="C20" r:id="rId1" xr:uid="{00000000-0004-0000-0000-000000000000}"/>
    <hyperlink ref="C13" r:id="rId2" xr:uid="{AFE89736-0B08-43A5-A77C-2A5125F0AE79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Z1000"/>
  <sheetViews>
    <sheetView showGridLines="0" topLeftCell="C1" workbookViewId="0">
      <selection activeCell="F35" sqref="F35"/>
    </sheetView>
  </sheetViews>
  <sheetFormatPr baseColWidth="10" defaultColWidth="12.7109375" defaultRowHeight="15" customHeight="1"/>
  <cols>
    <col min="1" max="1" width="28" customWidth="1"/>
    <col min="2" max="2" width="40.28515625" customWidth="1"/>
    <col min="3" max="3" width="18" bestFit="1" customWidth="1"/>
    <col min="4" max="4" width="16.28515625" bestFit="1" customWidth="1"/>
    <col min="5" max="5" width="17.28515625" customWidth="1"/>
    <col min="6" max="6" width="19.28515625" customWidth="1"/>
    <col min="7" max="7" width="20.8554687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629</v>
      </c>
      <c r="B2" s="77"/>
      <c r="C2" s="77"/>
      <c r="D2" s="77"/>
      <c r="E2" s="77"/>
      <c r="F2" s="77"/>
      <c r="G2" s="7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34"/>
      <c r="B3" s="535" t="s">
        <v>630</v>
      </c>
      <c r="C3" s="535"/>
      <c r="D3" s="535"/>
      <c r="E3" s="535"/>
      <c r="F3" s="535"/>
      <c r="G3" s="53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3" t="s">
        <v>444</v>
      </c>
      <c r="B4" s="104" t="s">
        <v>14</v>
      </c>
      <c r="C4" s="434" t="s">
        <v>2</v>
      </c>
      <c r="D4" s="434" t="s">
        <v>3</v>
      </c>
      <c r="E4" s="434" t="s">
        <v>4</v>
      </c>
      <c r="F4" s="434" t="s">
        <v>5</v>
      </c>
      <c r="G4" s="435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537" t="s">
        <v>631</v>
      </c>
      <c r="B5" s="538"/>
      <c r="C5" s="437"/>
      <c r="D5" s="437"/>
      <c r="E5" s="437"/>
      <c r="F5" s="437"/>
      <c r="G5" s="43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39" t="s">
        <v>632</v>
      </c>
      <c r="B6" s="540"/>
      <c r="C6" s="440">
        <f>'E-Costos'!C7*InfoInicial!$B$3</f>
        <v>253068480</v>
      </c>
      <c r="D6" s="440">
        <f>'E-Costos'!D7*InfoInicial!$B$3</f>
        <v>235488708</v>
      </c>
      <c r="E6" s="440">
        <f>'E-Costos'!E7*InfoInicial!$B$3</f>
        <v>235488708</v>
      </c>
      <c r="F6" s="440">
        <f>'E-Costos'!F7*InfoInicial!$B$3</f>
        <v>235488708</v>
      </c>
      <c r="G6" s="440">
        <f>'E-Costos'!G7*InfoInicial!$B$3</f>
        <v>235488708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39" t="s">
        <v>515</v>
      </c>
      <c r="B7" s="540"/>
      <c r="C7" s="440">
        <f>'E-Costos'!C12*InfoInicial!$B$3</f>
        <v>4333560.3979061628</v>
      </c>
      <c r="D7" s="440">
        <f>'E-Costos'!D12*InfoInicial!$B$3</f>
        <v>4096233.4759061625</v>
      </c>
      <c r="E7" s="440">
        <f>'E-Costos'!E12*InfoInicial!$B$3</f>
        <v>4096233.4759061625</v>
      </c>
      <c r="F7" s="440">
        <f>'E-Costos'!F12*InfoInicial!$B$3</f>
        <v>4096233.4759061625</v>
      </c>
      <c r="G7" s="440">
        <f>'E-Costos'!G12*InfoInicial!$B$3</f>
        <v>4096233.4759061625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39" t="s">
        <v>322</v>
      </c>
      <c r="B8" s="540"/>
      <c r="C8" s="440">
        <f>'E-Costos'!C13*InfoInicial!$B$3</f>
        <v>1659637.2683726104</v>
      </c>
      <c r="D8" s="440">
        <f>'E-Costos'!D13*InfoInicial!$B$3</f>
        <v>1659637.2683726104</v>
      </c>
      <c r="E8" s="440">
        <f>'E-Costos'!E13*InfoInicial!$B$3</f>
        <v>1659637.2683726104</v>
      </c>
      <c r="F8" s="440">
        <f>'E-Costos'!F13*InfoInicial!$B$3</f>
        <v>1659637.2683726104</v>
      </c>
      <c r="G8" s="440">
        <f>'E-Costos'!G13*InfoInicial!$B$3</f>
        <v>1659637.2683726104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539" t="s">
        <v>516</v>
      </c>
      <c r="B9" s="540"/>
      <c r="C9" s="440">
        <f>'E-Costos'!C14*0.21</f>
        <v>0</v>
      </c>
      <c r="D9" s="440">
        <f>'E-Costos'!D14*0.21</f>
        <v>0</v>
      </c>
      <c r="E9" s="440">
        <f>'E-Costos'!E14*0.21</f>
        <v>0</v>
      </c>
      <c r="F9" s="440">
        <f>'E-Costos'!F14*0.21</f>
        <v>0</v>
      </c>
      <c r="G9" s="440">
        <f>'E-Costos'!G14*0.21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39" t="s">
        <v>633</v>
      </c>
      <c r="B10" s="540"/>
      <c r="C10" s="440"/>
      <c r="D10" s="440"/>
      <c r="E10" s="440"/>
      <c r="F10" s="440"/>
      <c r="G10" s="44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539" t="s">
        <v>634</v>
      </c>
      <c r="B11" s="540"/>
      <c r="C11" s="440"/>
      <c r="D11" s="440"/>
      <c r="E11" s="440"/>
      <c r="F11" s="440"/>
      <c r="G11" s="44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541" t="s">
        <v>508</v>
      </c>
      <c r="B12" s="540"/>
      <c r="C12" s="440">
        <f>SUM(C6:C11)</f>
        <v>259061677.66627878</v>
      </c>
      <c r="D12" s="440">
        <f t="shared" ref="D12:G12" si="0">SUM(D6:D11)</f>
        <v>241244578.74427879</v>
      </c>
      <c r="E12" s="440">
        <f t="shared" si="0"/>
        <v>241244578.74427879</v>
      </c>
      <c r="F12" s="440">
        <f t="shared" si="0"/>
        <v>241244578.74427879</v>
      </c>
      <c r="G12" s="440">
        <f t="shared" si="0"/>
        <v>241244578.74427879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39" t="s">
        <v>635</v>
      </c>
      <c r="B13" s="540"/>
      <c r="C13" s="440">
        <f>('E-Costos'!H45-'E-Costos'!H34)*InfoInicial!B3</f>
        <v>11266787.534370404</v>
      </c>
      <c r="D13" s="440"/>
      <c r="E13" s="440"/>
      <c r="F13" s="440"/>
      <c r="G13" s="44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539" t="s">
        <v>636</v>
      </c>
      <c r="B14" s="540"/>
      <c r="C14" s="440"/>
      <c r="D14" s="440"/>
      <c r="E14" s="440"/>
      <c r="F14" s="440"/>
      <c r="G14" s="44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539" t="s">
        <v>637</v>
      </c>
      <c r="B15" s="540"/>
      <c r="C15" s="440">
        <f>'E-InvAT'!C32</f>
        <v>2234377.0113047799</v>
      </c>
      <c r="D15" s="440">
        <f>'E-InvAT'!D32</f>
        <v>-233536.2580289825</v>
      </c>
      <c r="E15" s="440">
        <f>'E-InvAT'!E32</f>
        <v>0</v>
      </c>
      <c r="F15" s="440">
        <f>'E-InvAT'!F32</f>
        <v>0</v>
      </c>
      <c r="G15" s="440">
        <f>'E-InvAT'!G32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39" t="s">
        <v>638</v>
      </c>
      <c r="B16" s="540"/>
      <c r="C16" s="440">
        <f>'E-InvAT'!C33</f>
        <v>5634765.2606702941</v>
      </c>
      <c r="D16" s="440">
        <f>'E-InvAT'!D33</f>
        <v>-947868.51276782807</v>
      </c>
      <c r="E16" s="440">
        <f>'E-InvAT'!E33</f>
        <v>0</v>
      </c>
      <c r="F16" s="440">
        <f>'E-InvAT'!F33</f>
        <v>0</v>
      </c>
      <c r="G16" s="440">
        <f>'E-InvAT'!G33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41" t="s">
        <v>639</v>
      </c>
      <c r="B17" s="540"/>
      <c r="C17" s="440">
        <f>C12-SUM(C13:C16)</f>
        <v>239925747.85993332</v>
      </c>
      <c r="D17" s="440">
        <f t="shared" ref="D17:G17" si="1">D12-SUM(D13:D16)</f>
        <v>242425983.51507559</v>
      </c>
      <c r="E17" s="440">
        <f t="shared" si="1"/>
        <v>241244578.74427879</v>
      </c>
      <c r="F17" s="440">
        <f t="shared" si="1"/>
        <v>241244578.74427879</v>
      </c>
      <c r="G17" s="440">
        <f t="shared" si="1"/>
        <v>241244578.74427879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41" t="s">
        <v>640</v>
      </c>
      <c r="B18" s="540"/>
      <c r="C18" s="440">
        <f>SUM('E-Costos'!C66:C69)*InfoInicial!$B$3</f>
        <v>327772.02039640525</v>
      </c>
      <c r="D18" s="440">
        <f>SUM('E-Costos'!D66:D69)*InfoInicial!$B$3</f>
        <v>314587.19139640528</v>
      </c>
      <c r="E18" s="440">
        <f>SUM('E-Costos'!E66:E69)*InfoInicial!$B$3</f>
        <v>314587.19139640528</v>
      </c>
      <c r="F18" s="440">
        <f>SUM('E-Costos'!F66:F69)*InfoInicial!$B$3</f>
        <v>314587.19139640528</v>
      </c>
      <c r="G18" s="440">
        <f>SUM('E-Costos'!G66:G69)*InfoInicial!$B$3</f>
        <v>314587.19139640528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41" t="s">
        <v>641</v>
      </c>
      <c r="B19" s="540"/>
      <c r="C19" s="440">
        <f>SUM('E-Costos'!C87:C91)*InfoInicial!$B$3</f>
        <v>1094993.4554392311</v>
      </c>
      <c r="D19" s="440">
        <f>SUM('E-Costos'!D87:D91)*InfoInicial!$B$3</f>
        <v>1081808.6264392312</v>
      </c>
      <c r="E19" s="440">
        <f>SUM('E-Costos'!E87:E91)*InfoInicial!$B$3</f>
        <v>1081808.6264392312</v>
      </c>
      <c r="F19" s="440">
        <f>SUM('E-Costos'!F87:F91)*InfoInicial!$B$3</f>
        <v>1081808.6264392312</v>
      </c>
      <c r="G19" s="440">
        <f>SUM('E-Costos'!G87:G91)*InfoInicial!$B$3</f>
        <v>1081808.6264392312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41"/>
      <c r="B20" s="540"/>
      <c r="C20" s="440"/>
      <c r="D20" s="440"/>
      <c r="E20" s="440"/>
      <c r="F20" s="440"/>
      <c r="G20" s="44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39" t="s">
        <v>642</v>
      </c>
      <c r="B21" s="540"/>
      <c r="C21" s="440">
        <f>SUM(C17:C19)</f>
        <v>241348513.33576897</v>
      </c>
      <c r="D21" s="440">
        <f t="shared" ref="D21:G21" si="2">SUM(D17:D19)</f>
        <v>243822379.33291125</v>
      </c>
      <c r="E21" s="440">
        <f t="shared" si="2"/>
        <v>242640974.56211445</v>
      </c>
      <c r="F21" s="440">
        <f t="shared" si="2"/>
        <v>242640974.56211445</v>
      </c>
      <c r="G21" s="440">
        <f t="shared" si="2"/>
        <v>242640974.56211445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39" t="s">
        <v>643</v>
      </c>
      <c r="B22" s="540"/>
      <c r="C22" s="440">
        <f>'E-Costos'!C114*InfoInicial!$B$3</f>
        <v>342326250</v>
      </c>
      <c r="D22" s="440">
        <f>'E-Costos'!D114*InfoInicial!$B$3</f>
        <v>479256750</v>
      </c>
      <c r="E22" s="440">
        <f>'E-Costos'!E114*InfoInicial!$B$3</f>
        <v>479256750</v>
      </c>
      <c r="F22" s="440">
        <f>'E-Costos'!F114*InfoInicial!$B$3</f>
        <v>479256750</v>
      </c>
      <c r="G22" s="440">
        <f>'E-Costos'!G114*InfoInicial!$B$3</f>
        <v>479256750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41" t="s">
        <v>644</v>
      </c>
      <c r="B23" s="540"/>
      <c r="C23" s="440">
        <f>IF(C21&lt;0,C22+C21,C22-C21)</f>
        <v>100977736.66423103</v>
      </c>
      <c r="D23" s="440">
        <f t="shared" ref="D23:G23" si="3">IF(D21&lt;0,D22+D21,D22-D21)</f>
        <v>235434370.66708875</v>
      </c>
      <c r="E23" s="440">
        <f t="shared" si="3"/>
        <v>236615775.43788555</v>
      </c>
      <c r="F23" s="440">
        <f t="shared" si="3"/>
        <v>236615775.43788555</v>
      </c>
      <c r="G23" s="440">
        <f t="shared" si="3"/>
        <v>236615775.43788555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39"/>
      <c r="B24" s="540"/>
      <c r="C24" s="440"/>
      <c r="D24" s="440"/>
      <c r="E24" s="440"/>
      <c r="F24" s="440"/>
      <c r="G24" s="44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542" t="s">
        <v>645</v>
      </c>
      <c r="B25" s="540"/>
      <c r="C25" s="440">
        <f t="shared" ref="C25:D25" si="4">B27</f>
        <v>62115862.268819094</v>
      </c>
      <c r="D25" s="440">
        <f t="shared" si="4"/>
        <v>43150432.280344427</v>
      </c>
      <c r="E25" s="440">
        <f>D27</f>
        <v>0</v>
      </c>
      <c r="F25" s="440">
        <f>E27</f>
        <v>0</v>
      </c>
      <c r="G25" s="440">
        <f>F27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42" t="s">
        <v>646</v>
      </c>
      <c r="B26" s="540">
        <f>'E-Cal Inv.'!B23+'E-Cal Inv.'!C23</f>
        <v>62115862.268819094</v>
      </c>
      <c r="C26" s="440">
        <f>'E-Cal Inv.'!D23</f>
        <v>82012306.675756365</v>
      </c>
      <c r="D26" s="440">
        <f>'E-Cal Inv.'!E23</f>
        <v>13953987.884408584</v>
      </c>
      <c r="E26" s="440">
        <f>'E-Cal Inv.'!F23</f>
        <v>-213.05179196764715</v>
      </c>
      <c r="F26" s="440">
        <f>'E-Cal Inv.'!G23</f>
        <v>0</v>
      </c>
      <c r="G26" s="440">
        <f>'E-Cal Inv.'!H23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41" t="s">
        <v>647</v>
      </c>
      <c r="B27" s="540">
        <f>B26-B23</f>
        <v>62115862.268819094</v>
      </c>
      <c r="C27" s="440">
        <f>IF(C26+C25-C23&lt;0,0,C26+C25-C23)</f>
        <v>43150432.280344427</v>
      </c>
      <c r="D27" s="440">
        <f>IF(D26+D25-D23&lt;0,0,D26+D25-D23)</f>
        <v>0</v>
      </c>
      <c r="E27" s="440">
        <f t="shared" ref="E27" si="5">IF(E26+E25-E23&lt;0,0,E26+E25-E23)</f>
        <v>0</v>
      </c>
      <c r="F27" s="440">
        <f>IF(F26+F25-F23&lt;0,0,F26+F25-F23)</f>
        <v>0</v>
      </c>
      <c r="G27" s="440">
        <f t="shared" ref="G27" si="6">IF(G26+G25-G23&lt;0,0,G26+G25-G23)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41" t="s">
        <v>648</v>
      </c>
      <c r="B28" s="540"/>
      <c r="C28" s="440">
        <f>B27-C27+C26</f>
        <v>100977736.66423103</v>
      </c>
      <c r="D28" s="440">
        <f t="shared" ref="D28:E28" si="7">C27-D27+D26</f>
        <v>57104420.164753012</v>
      </c>
      <c r="E28" s="440">
        <f t="shared" si="7"/>
        <v>-213.05179196764715</v>
      </c>
      <c r="F28" s="440">
        <f>E27-F27+F26</f>
        <v>0</v>
      </c>
      <c r="G28" s="440">
        <f t="shared" ref="G28" si="8">F27-G27+G26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39"/>
      <c r="B29" s="540"/>
      <c r="C29" s="440"/>
      <c r="D29" s="440"/>
      <c r="E29" s="440"/>
      <c r="F29" s="440"/>
      <c r="G29" s="44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62" t="s">
        <v>649</v>
      </c>
      <c r="B30" s="543"/>
      <c r="C30" s="447">
        <f>C23-C28</f>
        <v>0</v>
      </c>
      <c r="D30" s="447">
        <f t="shared" ref="D30:G30" si="9">D23-D28</f>
        <v>178329950.50233573</v>
      </c>
      <c r="E30" s="447">
        <f t="shared" si="9"/>
        <v>236615988.48967752</v>
      </c>
      <c r="F30" s="447">
        <f t="shared" si="9"/>
        <v>236615775.43788555</v>
      </c>
      <c r="G30" s="447">
        <f t="shared" si="9"/>
        <v>236615775.43788555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3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  <ignoredErrors>
    <ignoredError sqref="G2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Z1000"/>
  <sheetViews>
    <sheetView showGridLines="0" workbookViewId="0">
      <selection activeCell="C20" sqref="C20"/>
    </sheetView>
  </sheetViews>
  <sheetFormatPr baseColWidth="10" defaultColWidth="12.7109375" defaultRowHeight="15" customHeight="1"/>
  <cols>
    <col min="1" max="1" width="28" customWidth="1"/>
    <col min="2" max="2" width="18.85546875" customWidth="1"/>
    <col min="3" max="3" width="19.42578125" customWidth="1"/>
    <col min="4" max="4" width="25.5703125" customWidth="1"/>
    <col min="5" max="5" width="18.42578125" customWidth="1"/>
    <col min="6" max="6" width="19.85546875" customWidth="1"/>
    <col min="7" max="7" width="15.7109375" customWidth="1"/>
    <col min="8" max="8" width="17.140625" customWidth="1"/>
    <col min="9" max="9" width="21.28515625" customWidth="1"/>
    <col min="10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650</v>
      </c>
      <c r="B3" s="77"/>
      <c r="C3" s="77"/>
      <c r="D3" s="77"/>
      <c r="E3" s="77"/>
      <c r="F3" s="77"/>
      <c r="G3" s="77"/>
      <c r="H3" s="77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104" t="s">
        <v>651</v>
      </c>
      <c r="C4" s="104" t="s">
        <v>652</v>
      </c>
      <c r="D4" s="434" t="s">
        <v>2</v>
      </c>
      <c r="E4" s="434" t="s">
        <v>3</v>
      </c>
      <c r="F4" s="434" t="s">
        <v>4</v>
      </c>
      <c r="G4" s="434" t="s">
        <v>5</v>
      </c>
      <c r="H4" s="544" t="s">
        <v>6</v>
      </c>
      <c r="I4" s="435" t="s">
        <v>595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6" t="s">
        <v>653</v>
      </c>
      <c r="B5" s="437"/>
      <c r="C5" s="437"/>
      <c r="D5" s="437"/>
      <c r="E5" s="437"/>
      <c r="F5" s="437"/>
      <c r="G5" s="437"/>
      <c r="H5" s="545"/>
      <c r="I5" s="43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39" t="s">
        <v>654</v>
      </c>
      <c r="B6" s="440">
        <f>'E-Inv AF y Am'!B21</f>
        <v>178373548.63124999</v>
      </c>
      <c r="C6" s="440">
        <v>0</v>
      </c>
      <c r="D6" s="440">
        <v>0</v>
      </c>
      <c r="E6" s="440">
        <v>0</v>
      </c>
      <c r="F6" s="440">
        <v>0</v>
      </c>
      <c r="G6" s="440">
        <v>0</v>
      </c>
      <c r="H6" s="546">
        <v>0</v>
      </c>
      <c r="I6" s="441">
        <f t="shared" ref="I6:I7" si="0">SUM(B6:H6)</f>
        <v>178373548.63124999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39" t="s">
        <v>655</v>
      </c>
      <c r="B7" s="440">
        <f>0</f>
        <v>0</v>
      </c>
      <c r="C7" s="440">
        <f>'E-Inv AF y Am'!B33</f>
        <v>113848598.15000001</v>
      </c>
      <c r="D7" s="440">
        <f>'E-Inv AF y Am'!C33</f>
        <v>169077445.80204773</v>
      </c>
      <c r="E7" s="440">
        <v>0</v>
      </c>
      <c r="F7" s="440">
        <v>0</v>
      </c>
      <c r="G7" s="440">
        <v>0</v>
      </c>
      <c r="H7" s="546">
        <v>0</v>
      </c>
      <c r="I7" s="441">
        <f t="shared" si="0"/>
        <v>282926043.95204771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6" t="s">
        <v>656</v>
      </c>
      <c r="B8" s="440">
        <f>SUM(B6:B7)</f>
        <v>178373548.63124999</v>
      </c>
      <c r="C8" s="440">
        <f>SUM(C6:C7)</f>
        <v>113848598.15000001</v>
      </c>
      <c r="D8" s="440">
        <f>SUM(D6:D7)</f>
        <v>169077445.80204773</v>
      </c>
      <c r="E8" s="440">
        <f t="shared" ref="E8:H8" si="1">SUM(E6:E7)</f>
        <v>0</v>
      </c>
      <c r="F8" s="440">
        <f t="shared" si="1"/>
        <v>0</v>
      </c>
      <c r="G8" s="440">
        <f t="shared" si="1"/>
        <v>0</v>
      </c>
      <c r="H8" s="440">
        <f t="shared" si="1"/>
        <v>0</v>
      </c>
      <c r="I8" s="441">
        <f>SUM(B8:H8)</f>
        <v>461299592.58329773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9"/>
      <c r="B9" s="440"/>
      <c r="C9" s="440"/>
      <c r="D9" s="440"/>
      <c r="E9" s="440"/>
      <c r="F9" s="440"/>
      <c r="G9" s="440"/>
      <c r="H9" s="546"/>
      <c r="I9" s="44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6" t="s">
        <v>657</v>
      </c>
      <c r="B10" s="440"/>
      <c r="C10" s="440"/>
      <c r="D10" s="440"/>
      <c r="E10" s="440"/>
      <c r="F10" s="440"/>
      <c r="G10" s="440"/>
      <c r="H10" s="546"/>
      <c r="I10" s="44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39" t="s">
        <v>658</v>
      </c>
      <c r="B11" s="440"/>
      <c r="C11" s="440">
        <f>'E-InvAT'!B6</f>
        <v>2608200</v>
      </c>
      <c r="D11" s="440">
        <f>'E-InvAT'!C6-'E-InvAT'!B6</f>
        <v>29994300</v>
      </c>
      <c r="E11" s="440">
        <f>'E-InvAT'!D6-'E-InvAT'!C6</f>
        <v>13041000</v>
      </c>
      <c r="F11" s="440">
        <f>'E-InvAT'!E6-'E-InvAT'!D6</f>
        <v>0</v>
      </c>
      <c r="G11" s="440">
        <f>'E-InvAT'!F6-'E-InvAT'!E6</f>
        <v>0</v>
      </c>
      <c r="H11" s="546">
        <f>'E-InvAT'!G6-'E-InvAT'!F6</f>
        <v>0</v>
      </c>
      <c r="I11" s="441">
        <f>SUM(C11:H11)</f>
        <v>45643500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39" t="s">
        <v>659</v>
      </c>
      <c r="B12" s="440"/>
      <c r="C12" s="440"/>
      <c r="D12" s="918">
        <f>'E-InvAT'!C7</f>
        <v>133982876.71232876</v>
      </c>
      <c r="E12" s="918">
        <f>'E-InvAT'!D7-'E-InvAT'!C7</f>
        <v>53593150.684931517</v>
      </c>
      <c r="F12" s="918">
        <f>'E-InvAT'!E7-'E-InvAT'!D7</f>
        <v>0</v>
      </c>
      <c r="G12" s="918">
        <f>'E-InvAT'!F7-'E-InvAT'!E7</f>
        <v>0</v>
      </c>
      <c r="H12" s="918">
        <f>'E-InvAT'!G7-'E-InvAT'!F7</f>
        <v>0</v>
      </c>
      <c r="I12" s="919">
        <f>SUM(B12:H12)</f>
        <v>187576027.39726028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39" t="s">
        <v>660</v>
      </c>
      <c r="B13" s="440"/>
      <c r="C13" s="440"/>
      <c r="D13" s="440"/>
      <c r="E13" s="440"/>
      <c r="F13" s="440"/>
      <c r="G13" s="440"/>
      <c r="H13" s="546"/>
      <c r="I13" s="44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39" t="s">
        <v>661</v>
      </c>
      <c r="B14" s="440"/>
      <c r="C14" s="440">
        <f>'E-InvAT'!B10</f>
        <v>378273.44646000001</v>
      </c>
      <c r="D14" s="440">
        <f>'E-InvAT'!C10-'E-InvAT'!B10</f>
        <v>38231726.553539999</v>
      </c>
      <c r="E14" s="440">
        <f>'E-InvAT'!D10-'E-InvAT'!C10</f>
        <v>0</v>
      </c>
      <c r="F14" s="440">
        <f>'E-InvAT'!E10-'E-InvAT'!D10</f>
        <v>0</v>
      </c>
      <c r="G14" s="440">
        <f>'E-InvAT'!F10-'E-InvAT'!E10</f>
        <v>0</v>
      </c>
      <c r="H14" s="546">
        <f>'E-InvAT'!G10-'E-InvAT'!F10</f>
        <v>0</v>
      </c>
      <c r="I14" s="441">
        <f t="shared" ref="I14:I18" si="2">SUM(C14:H14)</f>
        <v>38610000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9" t="s">
        <v>662</v>
      </c>
      <c r="B15" s="440"/>
      <c r="C15" s="440">
        <f>'E-InvAT'!B11</f>
        <v>581200.1</v>
      </c>
      <c r="D15" s="440">
        <f>'E-InvAT'!C11-'E-InvAT'!B11</f>
        <v>1224899.316184375</v>
      </c>
      <c r="E15" s="440">
        <f>'E-InvAT'!D11-'E-InvAT'!C11</f>
        <v>0</v>
      </c>
      <c r="F15" s="440">
        <f>'E-InvAT'!E11-'E-InvAT'!D11</f>
        <v>0</v>
      </c>
      <c r="G15" s="440">
        <f>'E-InvAT'!F11-'E-InvAT'!E11</f>
        <v>0</v>
      </c>
      <c r="H15" s="546">
        <f>'E-InvAT'!G11-'E-InvAT'!F11</f>
        <v>0</v>
      </c>
      <c r="I15" s="441">
        <f t="shared" si="2"/>
        <v>1806099.4161843751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920" t="s">
        <v>663</v>
      </c>
      <c r="B16" s="440"/>
      <c r="C16" s="440"/>
      <c r="D16" s="918">
        <f>'E-Costos'!C46</f>
        <v>11605952.234847084</v>
      </c>
      <c r="E16" s="918">
        <f>'E-Costos'!D46-'E-Costos'!C46</f>
        <v>-157514.38214947283</v>
      </c>
      <c r="F16" s="918">
        <f>'E-Costos'!E46-'E-Costos'!D46</f>
        <v>0</v>
      </c>
      <c r="G16" s="918">
        <f>'E-Costos'!F46-'E-Costos'!E46</f>
        <v>0</v>
      </c>
      <c r="H16" s="918">
        <f>'E-Costos'!G46-'E-Costos'!F46</f>
        <v>0</v>
      </c>
      <c r="I16" s="919">
        <f t="shared" si="2"/>
        <v>11448437.852697611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39" t="s">
        <v>664</v>
      </c>
      <c r="B17" s="440"/>
      <c r="C17" s="440"/>
      <c r="D17" s="440">
        <f>'E-InvAT'!C13-'E-InvAT'!C18</f>
        <v>6417593.0751299877</v>
      </c>
      <c r="E17" s="440">
        <f>('E-InvAT'!D13-'E-InvAT'!D18)-('E-InvAT'!C13-'E-InvAT'!C18)</f>
        <v>-29074.948455450125</v>
      </c>
      <c r="F17" s="440">
        <f>('E-InvAT'!E13-'E-InvAT'!E18)-('E-InvAT'!D13-'E-InvAT'!D18)</f>
        <v>-1014.5323427030817</v>
      </c>
      <c r="G17" s="440">
        <f>('E-InvAT'!F13-'E-InvAT'!F18)-('E-InvAT'!E13-'E-InvAT'!E18)</f>
        <v>0</v>
      </c>
      <c r="H17" s="440">
        <f>('E-InvAT'!G13-'E-InvAT'!G18)-('E-InvAT'!F13-'E-InvAT'!F18)</f>
        <v>0</v>
      </c>
      <c r="I17" s="441">
        <f t="shared" si="2"/>
        <v>6387503.5943318345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6" t="s">
        <v>665</v>
      </c>
      <c r="B18" s="440"/>
      <c r="C18" s="440">
        <f>SUM(C11:C17)</f>
        <v>3567673.5464600003</v>
      </c>
      <c r="D18" s="440">
        <f>SUM(D11:D17)</f>
        <v>221457347.89203018</v>
      </c>
      <c r="E18" s="440">
        <f>SUM(E11:E17)</f>
        <v>66447561.354326591</v>
      </c>
      <c r="F18" s="440">
        <f t="shared" ref="F18:H18" si="3">SUM(F11:F17)</f>
        <v>-1014.5323427030817</v>
      </c>
      <c r="G18" s="440">
        <f t="shared" si="3"/>
        <v>0</v>
      </c>
      <c r="H18" s="440">
        <f t="shared" si="3"/>
        <v>0</v>
      </c>
      <c r="I18" s="441">
        <f t="shared" si="2"/>
        <v>291471568.26047403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39"/>
      <c r="B19" s="440"/>
      <c r="C19" s="440"/>
      <c r="D19" s="440"/>
      <c r="E19" s="440"/>
      <c r="F19" s="440"/>
      <c r="G19" s="440"/>
      <c r="H19" s="546"/>
      <c r="I19" s="44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6" t="s">
        <v>666</v>
      </c>
      <c r="B20" s="440"/>
      <c r="C20" s="440"/>
      <c r="D20" s="440"/>
      <c r="E20" s="440"/>
      <c r="F20" s="440"/>
      <c r="G20" s="440"/>
      <c r="H20" s="546"/>
      <c r="I20" s="44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39" t="s">
        <v>667</v>
      </c>
      <c r="B21" s="440">
        <f>B8*InfoInicial!B3</f>
        <v>37458445.212562494</v>
      </c>
      <c r="C21" s="440">
        <f>C8*InfoInicial!B3</f>
        <v>23908205.611499999</v>
      </c>
      <c r="D21" s="440">
        <f>D8*InfoInicial!B3</f>
        <v>35506263.618430018</v>
      </c>
      <c r="E21" s="440">
        <f>E8*InfoInicial!B3</f>
        <v>0</v>
      </c>
      <c r="F21" s="440">
        <f>F8*InfoInicial!B3</f>
        <v>0</v>
      </c>
      <c r="G21" s="440">
        <f t="shared" ref="G21:H21" si="4">0.21*G8</f>
        <v>0</v>
      </c>
      <c r="H21" s="440">
        <f t="shared" si="4"/>
        <v>0</v>
      </c>
      <c r="I21" s="441">
        <f>SUM(B21:H21)</f>
        <v>96872914.442492515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9" t="s">
        <v>668</v>
      </c>
      <c r="C22" s="440">
        <f>C18*InfoInicial!B3</f>
        <v>749211.44475660007</v>
      </c>
      <c r="D22" s="440">
        <f>D18*InfoInicial!B3</f>
        <v>46506043.057326339</v>
      </c>
      <c r="E22" s="440">
        <f>E18*InfoInicial!B3</f>
        <v>13953987.884408584</v>
      </c>
      <c r="F22" s="440">
        <f>F18*InfoInicial!B3</f>
        <v>-213.05179196764715</v>
      </c>
      <c r="G22" s="440">
        <f>G18*InfoInicial!B3</f>
        <v>0</v>
      </c>
      <c r="H22" s="440">
        <f>H18*InfoInicial!B3</f>
        <v>0</v>
      </c>
      <c r="I22" s="441">
        <f>SUM(C22:H22)</f>
        <v>61209029.334699556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6" t="s">
        <v>669</v>
      </c>
      <c r="B23" s="440">
        <f>SUM(B21:B22)</f>
        <v>37458445.212562494</v>
      </c>
      <c r="C23" s="440">
        <f>SUM(C21:C22)</f>
        <v>24657417.0562566</v>
      </c>
      <c r="D23" s="440">
        <f>SUM(D21:D22)</f>
        <v>82012306.675756365</v>
      </c>
      <c r="E23" s="440">
        <f t="shared" ref="E23:H23" si="5">SUM(E21:E22)</f>
        <v>13953987.884408584</v>
      </c>
      <c r="F23" s="440">
        <f t="shared" si="5"/>
        <v>-213.05179196764715</v>
      </c>
      <c r="G23" s="440">
        <f t="shared" si="5"/>
        <v>0</v>
      </c>
      <c r="H23" s="440">
        <f t="shared" si="5"/>
        <v>0</v>
      </c>
      <c r="I23" s="441">
        <f>SUM(B23:H23)</f>
        <v>158081943.77719209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6"/>
      <c r="B24" s="440"/>
      <c r="C24" s="440"/>
      <c r="D24" s="440"/>
      <c r="E24" s="440"/>
      <c r="F24" s="440"/>
      <c r="G24" s="440"/>
      <c r="H24" s="546"/>
      <c r="I24" s="44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46" t="s">
        <v>670</v>
      </c>
      <c r="B25" s="447">
        <f>B8+B18+B23</f>
        <v>215831993.8438125</v>
      </c>
      <c r="C25" s="447">
        <f>C8+C18+C23</f>
        <v>142073688.7527166</v>
      </c>
      <c r="D25" s="447">
        <f>D8+D18+D23</f>
        <v>472547100.3698343</v>
      </c>
      <c r="E25" s="447">
        <f t="shared" ref="E25:H25" si="6">E8+E18+E23</f>
        <v>80401549.238735169</v>
      </c>
      <c r="F25" s="447">
        <f t="shared" si="6"/>
        <v>-1227.5841346707289</v>
      </c>
      <c r="G25" s="447">
        <f t="shared" si="6"/>
        <v>0</v>
      </c>
      <c r="H25" s="447">
        <f t="shared" si="6"/>
        <v>0</v>
      </c>
      <c r="I25" s="547">
        <f>SUM(B25:H25)</f>
        <v>910853104.62096393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Z1000"/>
  <sheetViews>
    <sheetView showGridLines="0" workbookViewId="0">
      <selection activeCell="C23" sqref="C23"/>
    </sheetView>
  </sheetViews>
  <sheetFormatPr baseColWidth="10" defaultColWidth="12.7109375" defaultRowHeight="15" customHeight="1"/>
  <cols>
    <col min="1" max="1" width="7.85546875" customWidth="1"/>
    <col min="2" max="2" width="22.7109375" customWidth="1"/>
    <col min="3" max="3" width="31" customWidth="1"/>
    <col min="4" max="4" width="19.7109375" customWidth="1"/>
    <col min="5" max="5" width="16.28515625" bestFit="1" customWidth="1"/>
    <col min="6" max="6" width="18" customWidth="1"/>
    <col min="7" max="7" width="26.42578125" customWidth="1"/>
    <col min="8" max="8" width="18.28515625" customWidth="1"/>
    <col min="9" max="9" width="16.28515625" bestFit="1" customWidth="1"/>
    <col min="10" max="10" width="22.140625" customWidth="1"/>
    <col min="11" max="11" width="18.7109375" customWidth="1"/>
    <col min="12" max="13" width="19.7109375" bestFit="1" customWidth="1"/>
    <col min="14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3">
        <f>InfoInicial!E1</f>
        <v>9</v>
      </c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03" t="s">
        <v>672</v>
      </c>
      <c r="B3" s="104" t="s">
        <v>673</v>
      </c>
      <c r="C3" s="104" t="s">
        <v>674</v>
      </c>
      <c r="D3" s="104" t="s">
        <v>675</v>
      </c>
      <c r="E3" s="104" t="s">
        <v>61</v>
      </c>
      <c r="F3" s="104" t="s">
        <v>676</v>
      </c>
      <c r="G3" s="104" t="s">
        <v>677</v>
      </c>
      <c r="H3" s="104" t="s">
        <v>678</v>
      </c>
      <c r="I3" s="104" t="s">
        <v>295</v>
      </c>
      <c r="J3" s="104" t="s">
        <v>679</v>
      </c>
      <c r="K3" s="104" t="s">
        <v>680</v>
      </c>
      <c r="L3" s="105" t="s">
        <v>681</v>
      </c>
      <c r="M3" s="106" t="s">
        <v>682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7">
        <v>0</v>
      </c>
      <c r="B4" s="538">
        <f>'E-Inv AF y Am'!B35</f>
        <v>292222146.78125</v>
      </c>
      <c r="C4" s="437">
        <f>'E-Cal Inv.'!C18</f>
        <v>3567673.5464600003</v>
      </c>
      <c r="D4" s="437">
        <f>'E-Cal Inv.'!B23+'E-Cal Inv.'!C23</f>
        <v>62115862.268819094</v>
      </c>
      <c r="E4" s="437">
        <v>0</v>
      </c>
      <c r="F4" s="437">
        <v>0</v>
      </c>
      <c r="G4" s="437">
        <f>SUM(B4:F4)</f>
        <v>357905682.59652907</v>
      </c>
      <c r="H4" s="437">
        <v>0</v>
      </c>
      <c r="I4" s="437">
        <v>0</v>
      </c>
      <c r="J4" s="437">
        <v>0</v>
      </c>
      <c r="K4" s="437">
        <f t="shared" ref="K4:K8" si="0">SUM(H4:J4)</f>
        <v>0</v>
      </c>
      <c r="L4" s="545">
        <f t="shared" ref="L4:L9" si="1">K4-G4</f>
        <v>-357905682.59652907</v>
      </c>
      <c r="M4" s="438">
        <f>L4</f>
        <v>-357905682.59652907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08">
        <v>1</v>
      </c>
      <c r="B5" s="540">
        <f>'E-Cal Inv.'!D8</f>
        <v>169077445.80204773</v>
      </c>
      <c r="C5" s="437">
        <f>'E-Cal Inv.'!D18</f>
        <v>221457347.89203018</v>
      </c>
      <c r="D5" s="440">
        <f>'E-Cal Inv.'!D23</f>
        <v>82012306.675756365</v>
      </c>
      <c r="E5" s="440">
        <f>'E-Costos'!C143</f>
        <v>18374433.243646283</v>
      </c>
      <c r="F5" s="440">
        <f>'E-Costos'!C144</f>
        <v>85441114.582955196</v>
      </c>
      <c r="G5" s="437">
        <f>SUM(B5:F5)</f>
        <v>576362648.19643581</v>
      </c>
      <c r="H5" s="440">
        <f>'E-Costos'!C142</f>
        <v>262491903.48066115</v>
      </c>
      <c r="I5" s="440">
        <f>'E-Inv AF y Am'!D57</f>
        <v>68495811.070826203</v>
      </c>
      <c r="J5" s="440">
        <f>'E-IVA '!C28</f>
        <v>100977736.66423103</v>
      </c>
      <c r="K5" s="437">
        <f>SUM(H5:J5)</f>
        <v>431965451.21571839</v>
      </c>
      <c r="L5" s="545">
        <f t="shared" si="1"/>
        <v>-144397196.98071742</v>
      </c>
      <c r="M5" s="441">
        <f>M4+L5</f>
        <v>-502302879.57724649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08">
        <v>2</v>
      </c>
      <c r="B6" s="540">
        <v>0</v>
      </c>
      <c r="C6" s="437">
        <f>'E-Cal Inv.'!E18</f>
        <v>66447561.354326591</v>
      </c>
      <c r="D6" s="440">
        <f>'E-Cal Inv.'!E23</f>
        <v>13953987.884408584</v>
      </c>
      <c r="E6" s="440">
        <f>'E-Costos'!D143</f>
        <v>63603319.979910873</v>
      </c>
      <c r="F6" s="440">
        <f>'E-Costos'!D144</f>
        <v>295755437.90658551</v>
      </c>
      <c r="G6" s="437">
        <f>SUM(B6:F6)</f>
        <v>439760307.12523156</v>
      </c>
      <c r="H6" s="440">
        <f>'E-Costos'!D142</f>
        <v>908618856.85586953</v>
      </c>
      <c r="I6" s="440">
        <f>'E-Inv AF y Am'!D57</f>
        <v>68495811.070826203</v>
      </c>
      <c r="J6" s="440">
        <f>'E-IVA '!D28</f>
        <v>57104420.164753012</v>
      </c>
      <c r="K6" s="437">
        <f t="shared" si="0"/>
        <v>1034219088.0914487</v>
      </c>
      <c r="L6" s="545">
        <f t="shared" si="1"/>
        <v>594458780.96621704</v>
      </c>
      <c r="M6" s="441">
        <f t="shared" ref="M6:M8" si="2">M5+L6</f>
        <v>92155901.388970554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08">
        <v>3</v>
      </c>
      <c r="B7" s="540">
        <v>0</v>
      </c>
      <c r="C7" s="437">
        <f>'E-Cal Inv.'!F18</f>
        <v>-1014.5323427030817</v>
      </c>
      <c r="D7" s="440">
        <f>'E-Cal Inv.'!F23</f>
        <v>-213.05179196764715</v>
      </c>
      <c r="E7" s="440">
        <f>'E-Costos'!E143</f>
        <v>63696160.530674942</v>
      </c>
      <c r="F7" s="440">
        <f>'E-Costos'!E144</f>
        <v>296187146.46763843</v>
      </c>
      <c r="G7" s="437">
        <f>SUM(B7:F7)</f>
        <v>359882079.41417873</v>
      </c>
      <c r="H7" s="440">
        <f>'E-Costos'!E142</f>
        <v>909945150.43821335</v>
      </c>
      <c r="I7" s="440">
        <f>'E-Inv AF y Am'!D57</f>
        <v>68495811.070826203</v>
      </c>
      <c r="J7" s="440">
        <f>'E-IVA '!E28</f>
        <v>-213.05179196764715</v>
      </c>
      <c r="K7" s="437">
        <f>SUM(H7:J7)</f>
        <v>978440748.4572475</v>
      </c>
      <c r="L7" s="545">
        <f t="shared" si="1"/>
        <v>618558669.04306877</v>
      </c>
      <c r="M7" s="441">
        <f t="shared" si="2"/>
        <v>710714570.43203926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08">
        <v>4</v>
      </c>
      <c r="B8" s="540">
        <v>0</v>
      </c>
      <c r="C8" s="437">
        <f>'E-Cal Inv.'!G18</f>
        <v>0</v>
      </c>
      <c r="D8" s="440">
        <f>'E-Cal Inv.'!G23</f>
        <v>0</v>
      </c>
      <c r="E8" s="440">
        <f>'E-Costos'!F143</f>
        <v>63696231.547938928</v>
      </c>
      <c r="F8" s="440">
        <f>'E-Costos'!F144</f>
        <v>296187476.69791597</v>
      </c>
      <c r="G8" s="437">
        <f t="shared" ref="G8" si="3">SUM(B8:F8)</f>
        <v>359883708.24585491</v>
      </c>
      <c r="H8" s="440">
        <f>'E-Costos'!F142</f>
        <v>909946164.97055602</v>
      </c>
      <c r="I8" s="440">
        <f>'E-Inv AF y Am'!E57</f>
        <v>68495811.070826203</v>
      </c>
      <c r="J8" s="440">
        <f>'E-IVA '!F28</f>
        <v>0</v>
      </c>
      <c r="K8" s="437">
        <f t="shared" si="0"/>
        <v>978441976.04138219</v>
      </c>
      <c r="L8" s="545">
        <f t="shared" si="1"/>
        <v>618558267.79552722</v>
      </c>
      <c r="M8" s="441">
        <f t="shared" si="2"/>
        <v>1329272838.2275665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08">
        <v>5</v>
      </c>
      <c r="B9" s="540">
        <f>-'E-Inv AF y Am'!G57</f>
        <v>-118820537.22916667</v>
      </c>
      <c r="C9" s="440">
        <f>'E-Cal Inv.'!H18-'E-Cal Inv.'!I18</f>
        <v>-291471568.26047403</v>
      </c>
      <c r="D9" s="440">
        <f>'E-Cal Inv.'!H23</f>
        <v>0</v>
      </c>
      <c r="E9" s="440">
        <f>'E-Costos'!G143</f>
        <v>63696231.547938928</v>
      </c>
      <c r="F9" s="440">
        <f>'E-Costos'!G144</f>
        <v>296187476.69791597</v>
      </c>
      <c r="G9" s="437">
        <f>SUM(B9:F9)</f>
        <v>-50408397.243785799</v>
      </c>
      <c r="H9" s="440">
        <f>'E-Costos'!G142</f>
        <v>909946164.97055602</v>
      </c>
      <c r="I9" s="440">
        <f>'E-Inv AF y Am'!E57</f>
        <v>68495811.070826203</v>
      </c>
      <c r="J9" s="440">
        <f>'E-IVA '!G28</f>
        <v>0</v>
      </c>
      <c r="K9" s="437">
        <f>SUM(H9:J9)</f>
        <v>978441976.04138219</v>
      </c>
      <c r="L9" s="545">
        <f t="shared" si="1"/>
        <v>1028850373.2851679</v>
      </c>
      <c r="M9" s="441">
        <f>M8+L9</f>
        <v>2358123211.5127344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08"/>
      <c r="B10" s="540"/>
      <c r="C10" s="440"/>
      <c r="D10" s="440"/>
      <c r="E10" s="440"/>
      <c r="F10" s="440"/>
      <c r="G10" s="440"/>
      <c r="H10" s="440"/>
      <c r="I10" s="440"/>
      <c r="J10" s="440"/>
      <c r="K10" s="440"/>
      <c r="L10" s="546"/>
      <c r="M10" s="441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09" t="s">
        <v>683</v>
      </c>
      <c r="B11" s="543">
        <f>B4+B5+B9</f>
        <v>342479055.35413104</v>
      </c>
      <c r="C11" s="447">
        <f>SUM(C4:C10)</f>
        <v>0</v>
      </c>
      <c r="D11" s="447">
        <f t="shared" ref="D11:L11" si="4">SUM(D4:D9)</f>
        <v>158081943.77719209</v>
      </c>
      <c r="E11" s="447">
        <f>SUM(E4:E9)</f>
        <v>273066376.85010999</v>
      </c>
      <c r="F11" s="447">
        <f>SUM(F4:F9)</f>
        <v>1269758652.3530111</v>
      </c>
      <c r="G11" s="447">
        <f>SUM(G4:G9)</f>
        <v>2043386028.334444</v>
      </c>
      <c r="H11" s="447">
        <f>SUM(H4:H9)</f>
        <v>3900948240.7158566</v>
      </c>
      <c r="I11" s="447">
        <f>SUM(I4:I9)</f>
        <v>342479055.35413098</v>
      </c>
      <c r="J11" s="447">
        <f t="shared" si="4"/>
        <v>158081943.77719209</v>
      </c>
      <c r="K11" s="447">
        <f>SUM(K4:K9)</f>
        <v>4401509239.8471794</v>
      </c>
      <c r="L11" s="447">
        <f t="shared" si="4"/>
        <v>2358123211.5127344</v>
      </c>
      <c r="M11" s="44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3"/>
      <c r="B13" s="3"/>
      <c r="C13" s="23" t="s">
        <v>684</v>
      </c>
      <c r="D13" s="245">
        <f>L11</f>
        <v>2358123211.5127344</v>
      </c>
      <c r="E13" s="3"/>
      <c r="F13" s="3"/>
      <c r="G13" s="3"/>
      <c r="H13" s="233">
        <f>H11-E11-F11</f>
        <v>2358123211.5127354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8"/>
      <c r="B14" s="3"/>
      <c r="C14" s="23" t="s">
        <v>685</v>
      </c>
      <c r="D14" s="246">
        <f>2+(-M5/L6)</f>
        <v>2.8449751196555919</v>
      </c>
      <c r="E14" s="3" t="s">
        <v>67</v>
      </c>
      <c r="F14" s="23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3"/>
      <c r="B15" s="3"/>
      <c r="C15" s="23" t="s">
        <v>686</v>
      </c>
      <c r="D15" s="247">
        <f>IRR(L4:L9)</f>
        <v>0.74680094711208889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22" t="s">
        <v>687</v>
      </c>
      <c r="M16" s="97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3"/>
      <c r="L17" s="1022" t="s">
        <v>688</v>
      </c>
      <c r="M17" s="97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10" t="s">
        <v>295</v>
      </c>
      <c r="M18" s="187" t="str">
        <f>IF(ROUND(B11,3)=ROUND(I11,3),"OK","MAL")</f>
        <v>OK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3"/>
      <c r="B19" s="3"/>
      <c r="C19" s="3"/>
      <c r="D19" s="3"/>
      <c r="E19" s="3"/>
      <c r="I19" s="3"/>
      <c r="J19" s="3"/>
      <c r="K19" s="3"/>
      <c r="L19" s="110" t="s">
        <v>689</v>
      </c>
      <c r="M19" s="187" t="str">
        <f>IF(ROUND(D11,3)=ROUND(J11,3),"OK","MAL")</f>
        <v>OK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3"/>
      <c r="B20" s="3"/>
      <c r="C20" s="3"/>
      <c r="D20" s="3"/>
      <c r="E20" s="3"/>
      <c r="I20" s="3"/>
      <c r="J20" s="3"/>
      <c r="K20" s="3"/>
      <c r="L20" s="110" t="s">
        <v>690</v>
      </c>
      <c r="M20" s="187" t="str">
        <f>IF(ROUND(D12,3)=ROUND(J12,3),"OK","MAL")</f>
        <v>OK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3"/>
      <c r="B21" s="3"/>
      <c r="C21" s="3"/>
      <c r="D21" s="3"/>
      <c r="E21" s="3"/>
      <c r="I21" s="3"/>
      <c r="J21" s="3"/>
      <c r="K21" s="3"/>
      <c r="L21" s="110" t="s">
        <v>691</v>
      </c>
      <c r="M21" s="187" t="str">
        <f>IF(ROUND((H11-F11-E11),3)=ROUND(L11,3),IF(ROUND(L11,3)=ROUND(M9,3),"OK","MAL"),"MAL")</f>
        <v>OK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19" priority="2" operator="equal">
      <formula>"OK"</formula>
    </cfRule>
  </conditionalFormatting>
  <conditionalFormatting sqref="M18">
    <cfRule type="cellIs" dxfId="18" priority="3" operator="equal">
      <formula>"MAL"</formula>
    </cfRule>
  </conditionalFormatting>
  <conditionalFormatting sqref="M19:M20">
    <cfRule type="cellIs" dxfId="17" priority="4" operator="equal">
      <formula>"OK"</formula>
    </cfRule>
  </conditionalFormatting>
  <conditionalFormatting sqref="M19:M20">
    <cfRule type="cellIs" dxfId="16" priority="5" operator="equal">
      <formula>"MAL"</formula>
    </cfRule>
  </conditionalFormatting>
  <conditionalFormatting sqref="M21">
    <cfRule type="cellIs" dxfId="15" priority="8" operator="equal">
      <formula>"OK"</formula>
    </cfRule>
  </conditionalFormatting>
  <conditionalFormatting sqref="M21">
    <cfRule type="cellIs" dxfId="14" priority="9" operator="equal">
      <formula>"MAL"</formula>
    </cfRule>
  </conditionalFormatting>
  <conditionalFormatting sqref="J17">
    <cfRule type="cellIs" dxfId="13" priority="10" operator="equal">
      <formula>"OK"</formula>
    </cfRule>
  </conditionalFormatting>
  <conditionalFormatting sqref="J17">
    <cfRule type="cellIs" dxfId="12" priority="11" operator="equal">
      <formula>"MAL"</formula>
    </cfRule>
  </conditionalFormatting>
  <pageMargins left="0.25972222222222202" right="0.45972222222222198" top="1.27013888888889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22E3-E791-46E1-82E6-4BCE3DC3F385}">
  <dimension ref="A2:O153"/>
  <sheetViews>
    <sheetView topLeftCell="F1" workbookViewId="0">
      <selection activeCell="F18" sqref="F18"/>
    </sheetView>
  </sheetViews>
  <sheetFormatPr baseColWidth="10" defaultColWidth="8.85546875" defaultRowHeight="12.75"/>
  <cols>
    <col min="1" max="1" width="16.140625" customWidth="1"/>
    <col min="2" max="2" width="15.85546875" customWidth="1"/>
    <col min="3" max="3" width="17.42578125" customWidth="1"/>
    <col min="4" max="4" width="18.5703125" customWidth="1"/>
    <col min="5" max="5" width="19.28515625" customWidth="1"/>
    <col min="6" max="6" width="18.42578125" customWidth="1"/>
    <col min="7" max="7" width="20.7109375" customWidth="1"/>
    <col min="8" max="8" width="15.7109375" bestFit="1" customWidth="1"/>
    <col min="9" max="9" width="14.7109375" bestFit="1" customWidth="1"/>
    <col min="10" max="10" width="24.5703125" bestFit="1" customWidth="1"/>
  </cols>
  <sheetData>
    <row r="2" spans="1:10" ht="15.75">
      <c r="A2" s="690" t="s">
        <v>692</v>
      </c>
      <c r="B2" s="691"/>
      <c r="C2" s="691"/>
      <c r="D2" s="691"/>
      <c r="E2" s="691"/>
      <c r="F2" s="691"/>
      <c r="G2" s="691"/>
      <c r="H2" s="691"/>
      <c r="I2" s="691"/>
    </row>
    <row r="3" spans="1:10">
      <c r="E3" s="159"/>
      <c r="G3" s="159"/>
    </row>
    <row r="4" spans="1:10">
      <c r="A4" s="629" t="s">
        <v>693</v>
      </c>
      <c r="B4" s="629"/>
      <c r="C4" s="649"/>
      <c r="D4" s="649"/>
      <c r="E4" s="648">
        <f>InfoInicial!B38</f>
        <v>60</v>
      </c>
      <c r="F4" s="649" t="s">
        <v>694</v>
      </c>
      <c r="G4" s="650">
        <f>InfoInicial!B39</f>
        <v>0.5</v>
      </c>
      <c r="H4" s="649" t="s">
        <v>695</v>
      </c>
    </row>
    <row r="5" spans="1:10">
      <c r="A5" s="629" t="s">
        <v>696</v>
      </c>
      <c r="B5" s="649"/>
      <c r="C5" s="650">
        <f>InfoInicial!B40</f>
        <v>0.6</v>
      </c>
      <c r="D5" s="649" t="s">
        <v>99</v>
      </c>
      <c r="E5" s="649"/>
      <c r="F5" s="629"/>
      <c r="G5" s="649"/>
      <c r="H5" s="629"/>
    </row>
    <row r="6" spans="1:10">
      <c r="A6" s="629"/>
      <c r="B6" s="629"/>
      <c r="C6" s="649"/>
      <c r="D6" s="629"/>
      <c r="E6" s="649"/>
      <c r="F6" s="629"/>
      <c r="G6" s="629"/>
      <c r="H6" s="629"/>
    </row>
    <row r="7" spans="1:10">
      <c r="A7" s="629" t="s">
        <v>697</v>
      </c>
      <c r="B7" s="649"/>
      <c r="C7" s="629"/>
      <c r="D7" s="649"/>
      <c r="E7" s="707">
        <v>0.4</v>
      </c>
      <c r="F7" s="651"/>
      <c r="G7" s="629" t="s">
        <v>698</v>
      </c>
      <c r="H7" s="649" t="s">
        <v>699</v>
      </c>
      <c r="I7" s="652">
        <v>0.3</v>
      </c>
    </row>
    <row r="8" spans="1:10">
      <c r="A8" t="s">
        <v>700</v>
      </c>
      <c r="C8" s="649"/>
      <c r="D8" s="629"/>
      <c r="E8" s="707">
        <v>0.6</v>
      </c>
      <c r="G8" s="629" t="s">
        <v>698</v>
      </c>
      <c r="H8" s="629" t="s">
        <v>699</v>
      </c>
      <c r="I8" s="652">
        <v>0.25</v>
      </c>
    </row>
    <row r="9" spans="1:10">
      <c r="A9" s="630"/>
      <c r="B9" s="630"/>
      <c r="C9" s="630"/>
      <c r="D9" s="630"/>
      <c r="E9" s="630"/>
      <c r="F9" s="630"/>
      <c r="G9" s="629"/>
      <c r="H9" s="629"/>
    </row>
    <row r="11" spans="1:10">
      <c r="A11" s="733"/>
      <c r="B11" s="838"/>
      <c r="C11" s="733"/>
      <c r="D11" s="857"/>
      <c r="E11" s="631"/>
      <c r="F11" s="631"/>
      <c r="G11" s="631"/>
      <c r="H11" s="631"/>
      <c r="I11" s="631"/>
      <c r="J11" s="631"/>
    </row>
    <row r="12" spans="1:10">
      <c r="A12" s="858" t="s">
        <v>701</v>
      </c>
      <c r="B12" s="859" t="s">
        <v>2</v>
      </c>
      <c r="C12" s="860"/>
      <c r="D12" s="860"/>
      <c r="E12" s="860"/>
      <c r="F12" s="631"/>
      <c r="G12" s="631"/>
      <c r="H12" s="631"/>
      <c r="I12" s="631"/>
      <c r="J12" s="631"/>
    </row>
    <row r="13" spans="1:10">
      <c r="A13" s="861" t="s">
        <v>702</v>
      </c>
      <c r="B13" s="790">
        <f>'E-InvAT'!B10</f>
        <v>378273.44646000001</v>
      </c>
      <c r="C13" s="860"/>
      <c r="D13" s="860"/>
      <c r="E13" s="860"/>
      <c r="F13" s="631"/>
      <c r="G13" s="631"/>
      <c r="H13" s="631"/>
      <c r="I13" s="631"/>
      <c r="J13" s="631"/>
    </row>
    <row r="14" spans="1:10">
      <c r="A14" s="861" t="s">
        <v>703</v>
      </c>
      <c r="B14" s="790">
        <f>'E-InvAT'!B11</f>
        <v>581200.1</v>
      </c>
      <c r="C14" s="860"/>
      <c r="D14" s="860"/>
      <c r="E14" s="860"/>
      <c r="F14" s="631"/>
      <c r="G14" s="631"/>
      <c r="H14" s="631"/>
      <c r="I14" s="631"/>
      <c r="J14" s="631"/>
    </row>
    <row r="15" spans="1:10">
      <c r="A15" s="861" t="s">
        <v>188</v>
      </c>
      <c r="B15" s="790">
        <f>SUM(B13:B14)</f>
        <v>959473.54645999998</v>
      </c>
      <c r="C15" s="860"/>
      <c r="D15" s="860"/>
      <c r="E15" s="860"/>
      <c r="F15" s="631"/>
      <c r="G15" s="631"/>
      <c r="H15" s="631"/>
      <c r="I15" s="631"/>
      <c r="J15" s="631"/>
    </row>
    <row r="16" spans="1:10">
      <c r="A16" s="861" t="s">
        <v>704</v>
      </c>
      <c r="B16" s="790">
        <f>B15*InfoInicial!B39</f>
        <v>479736.77322999999</v>
      </c>
      <c r="C16" s="860"/>
      <c r="D16" s="860"/>
      <c r="E16" s="860"/>
      <c r="F16" s="631"/>
      <c r="G16" s="631"/>
      <c r="H16" s="631"/>
      <c r="I16" s="631"/>
      <c r="J16" s="631"/>
    </row>
    <row r="17" spans="1:10">
      <c r="A17" s="861" t="s">
        <v>705</v>
      </c>
      <c r="B17" s="790">
        <f>B16*InfoInicial!B40</f>
        <v>287842.06393800001</v>
      </c>
      <c r="C17" s="860"/>
      <c r="D17" s="860"/>
      <c r="E17" s="860"/>
      <c r="F17" s="631"/>
      <c r="G17" s="631"/>
      <c r="H17" s="631"/>
      <c r="I17" s="631"/>
      <c r="J17" s="631"/>
    </row>
    <row r="18" spans="1:10">
      <c r="A18" s="860"/>
      <c r="B18" s="860"/>
      <c r="C18" s="860"/>
      <c r="D18" s="860"/>
      <c r="E18" s="860"/>
      <c r="F18" s="631"/>
      <c r="G18" s="631"/>
      <c r="H18" s="631"/>
      <c r="I18" s="631"/>
      <c r="J18" s="631"/>
    </row>
    <row r="19" spans="1:10">
      <c r="A19" s="858" t="s">
        <v>706</v>
      </c>
      <c r="B19" s="859" t="s">
        <v>707</v>
      </c>
      <c r="C19" s="859" t="s">
        <v>708</v>
      </c>
      <c r="D19" s="859" t="s">
        <v>709</v>
      </c>
      <c r="E19" s="859" t="s">
        <v>710</v>
      </c>
      <c r="F19" s="631"/>
      <c r="G19" s="631"/>
      <c r="H19" s="631"/>
      <c r="I19" s="631"/>
      <c r="J19" s="631"/>
    </row>
    <row r="20" spans="1:10">
      <c r="A20" s="863" t="s">
        <v>711</v>
      </c>
      <c r="B20" s="866">
        <f>$B$15</f>
        <v>959473.54645999998</v>
      </c>
      <c r="C20" s="866">
        <f>$B$16</f>
        <v>479736.77322999999</v>
      </c>
      <c r="D20" s="862" t="s">
        <v>712</v>
      </c>
      <c r="E20" s="866">
        <f>$B$17/12*2</f>
        <v>47973.677323000004</v>
      </c>
      <c r="F20" s="631"/>
      <c r="G20" s="631"/>
      <c r="H20" s="631"/>
      <c r="I20" s="631"/>
      <c r="J20" s="631"/>
    </row>
    <row r="21" spans="1:10">
      <c r="A21" s="863" t="s">
        <v>713</v>
      </c>
      <c r="B21" s="866">
        <f t="shared" ref="B21:B31" si="0">$B$15</f>
        <v>959473.54645999998</v>
      </c>
      <c r="C21" s="866">
        <f t="shared" ref="C21:C31" si="1">$B$16</f>
        <v>479736.77322999999</v>
      </c>
      <c r="D21" s="862" t="s">
        <v>714</v>
      </c>
      <c r="E21" s="866">
        <f t="shared" ref="E21:E31" si="2">$B$17/12*2</f>
        <v>47973.677323000004</v>
      </c>
      <c r="F21" s="631"/>
      <c r="G21" s="631"/>
      <c r="H21" s="631"/>
      <c r="I21" s="631"/>
      <c r="J21" s="631"/>
    </row>
    <row r="22" spans="1:10">
      <c r="A22" s="863" t="s">
        <v>715</v>
      </c>
      <c r="B22" s="866">
        <f t="shared" si="0"/>
        <v>959473.54645999998</v>
      </c>
      <c r="C22" s="866">
        <f t="shared" si="1"/>
        <v>479736.77322999999</v>
      </c>
      <c r="D22" s="862" t="s">
        <v>716</v>
      </c>
      <c r="E22" s="866">
        <f>$B$17/12*2</f>
        <v>47973.677323000004</v>
      </c>
      <c r="F22" s="631"/>
      <c r="G22" s="631"/>
      <c r="H22" s="631"/>
      <c r="I22" s="631"/>
      <c r="J22" s="631"/>
    </row>
    <row r="23" spans="1:10">
      <c r="A23" s="863" t="s">
        <v>714</v>
      </c>
      <c r="B23" s="866">
        <f t="shared" si="0"/>
        <v>959473.54645999998</v>
      </c>
      <c r="C23" s="866">
        <f t="shared" si="1"/>
        <v>479736.77322999999</v>
      </c>
      <c r="D23" s="862" t="s">
        <v>717</v>
      </c>
      <c r="E23" s="866">
        <f t="shared" si="2"/>
        <v>47973.677323000004</v>
      </c>
      <c r="F23" s="631"/>
      <c r="G23" s="631"/>
      <c r="H23" s="631"/>
      <c r="I23" s="631"/>
      <c r="J23" s="631"/>
    </row>
    <row r="24" spans="1:10">
      <c r="A24" s="863" t="s">
        <v>716</v>
      </c>
      <c r="B24" s="866">
        <f t="shared" si="0"/>
        <v>959473.54645999998</v>
      </c>
      <c r="C24" s="866">
        <f t="shared" si="1"/>
        <v>479736.77322999999</v>
      </c>
      <c r="D24" s="862" t="s">
        <v>718</v>
      </c>
      <c r="E24" s="866">
        <f t="shared" si="2"/>
        <v>47973.677323000004</v>
      </c>
      <c r="F24" s="631"/>
      <c r="G24" s="631"/>
      <c r="H24" s="631"/>
      <c r="I24" s="631"/>
      <c r="J24" s="631"/>
    </row>
    <row r="25" spans="1:10">
      <c r="A25" s="863" t="s">
        <v>717</v>
      </c>
      <c r="B25" s="866">
        <f t="shared" si="0"/>
        <v>959473.54645999998</v>
      </c>
      <c r="C25" s="866">
        <f t="shared" si="1"/>
        <v>479736.77322999999</v>
      </c>
      <c r="D25" s="862" t="s">
        <v>719</v>
      </c>
      <c r="E25" s="866">
        <f t="shared" si="2"/>
        <v>47973.677323000004</v>
      </c>
      <c r="F25" s="631"/>
      <c r="G25" s="631"/>
      <c r="H25" s="631"/>
      <c r="I25" s="631"/>
      <c r="J25" s="631"/>
    </row>
    <row r="26" spans="1:10">
      <c r="A26" s="863" t="s">
        <v>718</v>
      </c>
      <c r="B26" s="866">
        <f t="shared" si="0"/>
        <v>959473.54645999998</v>
      </c>
      <c r="C26" s="866">
        <f t="shared" si="1"/>
        <v>479736.77322999999</v>
      </c>
      <c r="D26" s="862" t="s">
        <v>720</v>
      </c>
      <c r="E26" s="866">
        <f t="shared" si="2"/>
        <v>47973.677323000004</v>
      </c>
      <c r="F26" s="631"/>
      <c r="G26" s="631"/>
      <c r="H26" s="631"/>
      <c r="I26" s="631"/>
      <c r="J26" s="631"/>
    </row>
    <row r="27" spans="1:10">
      <c r="A27" s="863" t="s">
        <v>719</v>
      </c>
      <c r="B27" s="866">
        <f t="shared" si="0"/>
        <v>959473.54645999998</v>
      </c>
      <c r="C27" s="866">
        <f t="shared" si="1"/>
        <v>479736.77322999999</v>
      </c>
      <c r="D27" s="862" t="s">
        <v>721</v>
      </c>
      <c r="E27" s="866">
        <f t="shared" si="2"/>
        <v>47973.677323000004</v>
      </c>
      <c r="F27" s="631"/>
      <c r="G27" s="631"/>
      <c r="H27" s="631"/>
      <c r="I27" s="631"/>
      <c r="J27" s="631"/>
    </row>
    <row r="28" spans="1:10">
      <c r="A28" s="863" t="s">
        <v>720</v>
      </c>
      <c r="B28" s="866">
        <f t="shared" si="0"/>
        <v>959473.54645999998</v>
      </c>
      <c r="C28" s="866">
        <f t="shared" si="1"/>
        <v>479736.77322999999</v>
      </c>
      <c r="D28" s="862" t="s">
        <v>722</v>
      </c>
      <c r="E28" s="866">
        <f t="shared" si="2"/>
        <v>47973.677323000004</v>
      </c>
      <c r="F28" s="631"/>
      <c r="G28" s="631"/>
      <c r="H28" s="631"/>
      <c r="I28" s="631"/>
      <c r="J28" s="631"/>
    </row>
    <row r="29" spans="1:10">
      <c r="A29" s="863" t="s">
        <v>721</v>
      </c>
      <c r="B29" s="866">
        <f t="shared" si="0"/>
        <v>959473.54645999998</v>
      </c>
      <c r="C29" s="866">
        <f t="shared" si="1"/>
        <v>479736.77322999999</v>
      </c>
      <c r="D29" s="862" t="s">
        <v>723</v>
      </c>
      <c r="E29" s="866">
        <f t="shared" si="2"/>
        <v>47973.677323000004</v>
      </c>
      <c r="F29" s="631"/>
      <c r="G29" s="631"/>
      <c r="H29" s="631"/>
      <c r="I29" s="631"/>
      <c r="J29" s="631"/>
    </row>
    <row r="30" spans="1:10">
      <c r="A30" s="863" t="s">
        <v>722</v>
      </c>
      <c r="B30" s="866">
        <f t="shared" si="0"/>
        <v>959473.54645999998</v>
      </c>
      <c r="C30" s="866">
        <f t="shared" si="1"/>
        <v>479736.77322999999</v>
      </c>
      <c r="D30" s="862" t="s">
        <v>724</v>
      </c>
      <c r="E30" s="866">
        <f t="shared" si="2"/>
        <v>47973.677323000004</v>
      </c>
      <c r="F30" s="631"/>
      <c r="G30" s="631"/>
      <c r="H30" s="631"/>
      <c r="I30" s="631"/>
      <c r="J30" s="631"/>
    </row>
    <row r="31" spans="1:10">
      <c r="A31" s="863" t="s">
        <v>723</v>
      </c>
      <c r="B31" s="866">
        <f t="shared" si="0"/>
        <v>959473.54645999998</v>
      </c>
      <c r="C31" s="866">
        <f t="shared" si="1"/>
        <v>479736.77322999999</v>
      </c>
      <c r="D31" s="862" t="s">
        <v>725</v>
      </c>
      <c r="E31" s="866">
        <f t="shared" si="2"/>
        <v>47973.677323000004</v>
      </c>
      <c r="F31" s="631"/>
      <c r="G31" s="631"/>
      <c r="H31" s="631"/>
      <c r="I31" s="631"/>
      <c r="J31" s="631"/>
    </row>
    <row r="32" spans="1:10">
      <c r="A32" s="860"/>
      <c r="B32" s="860"/>
      <c r="C32" s="860"/>
      <c r="D32" s="860"/>
      <c r="E32" s="860"/>
      <c r="F32" s="631"/>
      <c r="G32" s="631"/>
      <c r="H32" s="631"/>
      <c r="I32" s="631"/>
      <c r="J32" s="631"/>
    </row>
    <row r="33" spans="1:11">
      <c r="A33" s="860"/>
      <c r="B33" s="860"/>
      <c r="C33" s="625"/>
      <c r="D33" s="702" t="s">
        <v>337</v>
      </c>
      <c r="E33" s="867">
        <f>SUM(E20:E29)</f>
        <v>479736.77322999993</v>
      </c>
      <c r="F33" s="631"/>
      <c r="G33" s="631"/>
      <c r="H33" s="631"/>
      <c r="I33" s="631"/>
      <c r="J33" s="631"/>
    </row>
    <row r="34" spans="1:11">
      <c r="A34" s="860"/>
      <c r="B34" s="860"/>
      <c r="C34" s="625"/>
      <c r="D34" s="625"/>
      <c r="E34" s="625"/>
      <c r="F34" s="631"/>
      <c r="G34" s="631"/>
      <c r="H34" s="631"/>
      <c r="I34" s="631"/>
      <c r="J34" s="631"/>
    </row>
    <row r="35" spans="1:11">
      <c r="A35" s="860"/>
      <c r="B35" s="860"/>
      <c r="C35" s="702" t="s">
        <v>726</v>
      </c>
      <c r="D35" s="864"/>
      <c r="E35" s="867">
        <f>E33/InfoInicial!B40</f>
        <v>799561.28871666663</v>
      </c>
      <c r="F35" s="631"/>
      <c r="G35" s="631"/>
      <c r="H35" s="631"/>
      <c r="I35" s="631"/>
      <c r="J35" s="631"/>
    </row>
    <row r="36" spans="1:11">
      <c r="A36" s="733"/>
      <c r="B36" s="838"/>
      <c r="C36" s="733"/>
      <c r="D36" s="857"/>
      <c r="E36" s="631"/>
      <c r="F36" s="631"/>
      <c r="G36" s="631"/>
      <c r="H36" s="631"/>
      <c r="I36" s="631"/>
      <c r="J36" s="631"/>
    </row>
    <row r="40" spans="1:11" ht="15.75">
      <c r="A40" s="690" t="s">
        <v>727</v>
      </c>
      <c r="B40" s="691"/>
      <c r="C40" s="691"/>
      <c r="D40" s="691"/>
      <c r="E40" s="691"/>
      <c r="F40" s="691"/>
      <c r="G40" s="691"/>
      <c r="H40" s="691"/>
      <c r="I40" s="691"/>
    </row>
    <row r="41" spans="1:11" ht="15.75">
      <c r="A41" s="690"/>
      <c r="B41" s="691"/>
      <c r="C41" s="691"/>
      <c r="D41" s="691"/>
      <c r="E41" s="691"/>
      <c r="F41" s="691"/>
      <c r="G41" s="691"/>
      <c r="H41" s="691"/>
      <c r="I41" s="691"/>
    </row>
    <row r="42" spans="1:11" ht="18">
      <c r="A42" s="875" t="s">
        <v>728</v>
      </c>
      <c r="B42" s="876"/>
      <c r="C42" s="876"/>
    </row>
    <row r="44" spans="1:11">
      <c r="A44" s="1024" t="s">
        <v>729</v>
      </c>
      <c r="B44" s="1025"/>
      <c r="C44" s="1025"/>
      <c r="D44" s="1025"/>
      <c r="E44" s="1025"/>
      <c r="F44" s="1025"/>
      <c r="G44" s="1026"/>
    </row>
    <row r="45" spans="1:11">
      <c r="A45" s="661" t="s">
        <v>730</v>
      </c>
      <c r="B45" s="631"/>
      <c r="C45" s="631"/>
      <c r="D45" s="631"/>
      <c r="E45" s="631"/>
      <c r="F45" s="631"/>
      <c r="G45" s="662"/>
      <c r="I45" s="1023" t="s">
        <v>731</v>
      </c>
      <c r="J45" s="1023"/>
      <c r="K45" s="563" t="s">
        <v>732</v>
      </c>
    </row>
    <row r="46" spans="1:11">
      <c r="A46" s="661" t="s">
        <v>733</v>
      </c>
      <c r="B46" s="631" t="s">
        <v>734</v>
      </c>
      <c r="C46" s="663">
        <v>0.4</v>
      </c>
      <c r="D46" s="631" t="s">
        <v>735</v>
      </c>
      <c r="E46" s="631"/>
      <c r="F46" s="634"/>
      <c r="G46" s="662"/>
    </row>
    <row r="47" spans="1:11">
      <c r="A47" s="661" t="s">
        <v>736</v>
      </c>
      <c r="B47" s="664"/>
      <c r="C47" s="665">
        <f>'E-Inv AF y Am'!B8</f>
        <v>111650000</v>
      </c>
      <c r="D47" s="631"/>
      <c r="E47" s="638" t="s">
        <v>737</v>
      </c>
      <c r="F47" s="666">
        <f>C47*C46</f>
        <v>44660000</v>
      </c>
      <c r="G47" s="662"/>
    </row>
    <row r="48" spans="1:11" ht="14.25">
      <c r="A48" s="661" t="s">
        <v>738</v>
      </c>
      <c r="B48" s="631"/>
      <c r="C48" s="667">
        <v>8</v>
      </c>
      <c r="D48" s="668" t="s">
        <v>739</v>
      </c>
      <c r="E48" s="631"/>
      <c r="F48" s="631"/>
      <c r="G48" s="631"/>
    </row>
    <row r="49" spans="1:15">
      <c r="A49" s="661" t="s">
        <v>740</v>
      </c>
      <c r="B49" s="631"/>
      <c r="C49" s="669">
        <v>0.3</v>
      </c>
      <c r="D49" s="631" t="s">
        <v>741</v>
      </c>
      <c r="E49" s="631"/>
      <c r="F49" s="631"/>
      <c r="G49" s="662"/>
    </row>
    <row r="50" spans="1:15">
      <c r="A50" s="661" t="s">
        <v>742</v>
      </c>
      <c r="B50" s="631"/>
      <c r="C50" s="629" t="s">
        <v>743</v>
      </c>
      <c r="D50" s="631"/>
      <c r="E50" s="631"/>
      <c r="F50" s="631"/>
      <c r="G50" s="631"/>
    </row>
    <row r="51" spans="1:15">
      <c r="A51" s="670" t="s">
        <v>744</v>
      </c>
      <c r="B51" s="634"/>
      <c r="C51" s="671">
        <v>0.03</v>
      </c>
      <c r="D51" s="634" t="s">
        <v>745</v>
      </c>
      <c r="E51" s="634"/>
      <c r="F51" s="634"/>
      <c r="G51" s="672"/>
    </row>
    <row r="53" spans="1:15">
      <c r="A53" s="1027" t="s">
        <v>746</v>
      </c>
      <c r="B53" s="1028"/>
      <c r="C53" s="1029"/>
      <c r="D53" s="1030" t="s">
        <v>747</v>
      </c>
      <c r="E53" s="1032" t="s">
        <v>748</v>
      </c>
      <c r="F53" s="1034" t="s">
        <v>749</v>
      </c>
      <c r="G53" s="1034" t="s">
        <v>750</v>
      </c>
      <c r="H53" s="1034" t="s">
        <v>751</v>
      </c>
      <c r="I53" s="1034" t="s">
        <v>752</v>
      </c>
      <c r="J53" s="1036" t="s">
        <v>753</v>
      </c>
    </row>
    <row r="54" spans="1:15">
      <c r="A54" s="673" t="s">
        <v>754</v>
      </c>
      <c r="B54" s="674" t="s">
        <v>755</v>
      </c>
      <c r="C54" s="675" t="s">
        <v>756</v>
      </c>
      <c r="D54" s="1031"/>
      <c r="E54" s="1033"/>
      <c r="F54" s="1035"/>
      <c r="G54" s="1035"/>
      <c r="H54" s="1035"/>
      <c r="I54" s="1035"/>
      <c r="J54" s="1037"/>
    </row>
    <row r="55" spans="1:15">
      <c r="A55" s="632">
        <v>1</v>
      </c>
      <c r="B55" s="665">
        <v>5</v>
      </c>
      <c r="C55" s="676">
        <v>-1</v>
      </c>
      <c r="D55" s="793">
        <f>F47/3</f>
        <v>14886666.666666666</v>
      </c>
      <c r="E55" s="793"/>
      <c r="F55" s="793"/>
      <c r="G55" s="793"/>
      <c r="H55" s="793"/>
      <c r="I55" s="793">
        <f>$C$51*$D$55</f>
        <v>446599.99999999994</v>
      </c>
      <c r="J55" s="792"/>
      <c r="M55" s="1046" t="s">
        <v>757</v>
      </c>
      <c r="N55" s="1046"/>
      <c r="O55" s="1046"/>
    </row>
    <row r="56" spans="1:15">
      <c r="A56" s="632">
        <v>1</v>
      </c>
      <c r="B56" s="665">
        <v>8</v>
      </c>
      <c r="C56" s="786">
        <v>-1</v>
      </c>
      <c r="D56" s="793">
        <f>D55*2</f>
        <v>29773333.333333332</v>
      </c>
      <c r="E56" s="793"/>
      <c r="F56" s="793">
        <f>C49/2*D55</f>
        <v>2233000</v>
      </c>
      <c r="G56" s="793"/>
      <c r="H56" s="793"/>
      <c r="I56" s="793">
        <f t="shared" ref="I56:I57" si="3">$C$51*$D$55</f>
        <v>446599.99999999994</v>
      </c>
      <c r="J56" s="794"/>
      <c r="M56" s="1023"/>
      <c r="N56" s="1023"/>
      <c r="O56" s="1023"/>
    </row>
    <row r="57" spans="1:15">
      <c r="A57" s="632">
        <v>1</v>
      </c>
      <c r="B57" s="665">
        <v>11</v>
      </c>
      <c r="C57" s="786">
        <v>-1</v>
      </c>
      <c r="D57" s="793">
        <f>F47</f>
        <v>44660000</v>
      </c>
      <c r="E57" s="793"/>
      <c r="F57" s="793">
        <f>C49/2*D56</f>
        <v>4466000</v>
      </c>
      <c r="G57" s="793"/>
      <c r="H57" s="793"/>
      <c r="I57" s="793">
        <f t="shared" si="3"/>
        <v>446599.99999999994</v>
      </c>
      <c r="J57" s="794"/>
      <c r="M57" s="1023"/>
      <c r="N57" s="1023"/>
      <c r="O57" s="1023"/>
    </row>
    <row r="58" spans="1:15">
      <c r="A58" s="632">
        <v>31</v>
      </c>
      <c r="B58" s="665">
        <v>12</v>
      </c>
      <c r="C58" s="679">
        <v>-1</v>
      </c>
      <c r="D58" s="793">
        <f>F47</f>
        <v>44660000</v>
      </c>
      <c r="E58" s="793"/>
      <c r="F58" s="793">
        <f>F57</f>
        <v>4466000</v>
      </c>
      <c r="G58" s="793"/>
      <c r="H58" s="793"/>
      <c r="I58" s="793"/>
      <c r="J58" s="797"/>
      <c r="M58" s="1046" t="s">
        <v>758</v>
      </c>
      <c r="N58" s="1046"/>
      <c r="O58" s="1046"/>
    </row>
    <row r="59" spans="1:15">
      <c r="A59" s="681"/>
      <c r="B59" s="682"/>
      <c r="C59" s="787" t="s">
        <v>759</v>
      </c>
      <c r="D59" s="788"/>
      <c r="E59" s="789"/>
      <c r="F59" s="798">
        <f>SUM(F56:F58)</f>
        <v>11165000</v>
      </c>
      <c r="G59" s="798"/>
      <c r="H59" s="798">
        <f>F59</f>
        <v>11165000</v>
      </c>
      <c r="I59" s="798">
        <f>SUM(I55:I57)</f>
        <v>1339799.9999999998</v>
      </c>
      <c r="J59" s="799">
        <f>I59+H59</f>
        <v>12504800</v>
      </c>
      <c r="M59" s="1048">
        <f>F47/C48</f>
        <v>5582500</v>
      </c>
      <c r="N59" s="1048"/>
      <c r="O59" s="1048"/>
    </row>
    <row r="60" spans="1:15">
      <c r="A60" s="632">
        <v>1</v>
      </c>
      <c r="B60" s="665">
        <v>1</v>
      </c>
      <c r="C60" s="676">
        <v>1</v>
      </c>
      <c r="D60" s="790">
        <f>D58</f>
        <v>44660000</v>
      </c>
      <c r="E60" s="800"/>
      <c r="F60" s="801"/>
      <c r="G60" s="677"/>
      <c r="H60" s="677"/>
      <c r="I60" s="677"/>
      <c r="J60" s="678"/>
      <c r="M60" s="1048"/>
      <c r="N60" s="1048"/>
      <c r="O60" s="1048"/>
    </row>
    <row r="61" spans="1:15">
      <c r="A61" s="632">
        <v>30</v>
      </c>
      <c r="B61" s="665">
        <v>6</v>
      </c>
      <c r="C61" s="676">
        <v>1</v>
      </c>
      <c r="D61" s="790">
        <f>D58-E61</f>
        <v>44660000</v>
      </c>
      <c r="E61" s="801"/>
      <c r="F61" s="791">
        <f>$C$49*D60</f>
        <v>13398000</v>
      </c>
      <c r="G61" s="640"/>
      <c r="H61" s="640"/>
      <c r="I61" s="677"/>
      <c r="J61" s="806">
        <f>F61+E61</f>
        <v>13398000</v>
      </c>
    </row>
    <row r="62" spans="1:15">
      <c r="A62" s="632">
        <v>31</v>
      </c>
      <c r="B62" s="665">
        <v>12</v>
      </c>
      <c r="C62" s="676">
        <v>1</v>
      </c>
      <c r="D62" s="790">
        <f>D61-E61</f>
        <v>44660000</v>
      </c>
      <c r="E62" s="801">
        <f t="shared" ref="E62:E69" si="4">$M$59</f>
        <v>5582500</v>
      </c>
      <c r="F62" s="791">
        <f>$C$49*D61</f>
        <v>13398000</v>
      </c>
      <c r="G62" s="804">
        <f>E60+E61</f>
        <v>0</v>
      </c>
      <c r="H62" s="805">
        <f>F61+F62</f>
        <v>26796000</v>
      </c>
      <c r="I62" s="677"/>
      <c r="J62" s="806">
        <f>F62+E62</f>
        <v>18980500</v>
      </c>
    </row>
    <row r="63" spans="1:15">
      <c r="A63" s="632">
        <v>30</v>
      </c>
      <c r="B63" s="665">
        <v>6</v>
      </c>
      <c r="C63" s="676">
        <v>2</v>
      </c>
      <c r="D63" s="790">
        <f>D62-E62</f>
        <v>39077500</v>
      </c>
      <c r="E63" s="801">
        <f t="shared" si="4"/>
        <v>5582500</v>
      </c>
      <c r="F63" s="791">
        <f>$C$49*D62</f>
        <v>13398000</v>
      </c>
      <c r="G63" s="640"/>
      <c r="H63" s="640"/>
      <c r="I63" s="677"/>
      <c r="J63" s="806">
        <f>F63+E63</f>
        <v>18980500</v>
      </c>
    </row>
    <row r="64" spans="1:15">
      <c r="A64" s="632">
        <v>31</v>
      </c>
      <c r="B64" s="665">
        <v>12</v>
      </c>
      <c r="C64" s="676">
        <v>2</v>
      </c>
      <c r="D64" s="790">
        <f t="shared" ref="D64:D69" si="5">D63-E63</f>
        <v>33495000</v>
      </c>
      <c r="E64" s="801">
        <f t="shared" si="4"/>
        <v>5582500</v>
      </c>
      <c r="F64" s="791">
        <f>$C$49*D63</f>
        <v>11723250</v>
      </c>
      <c r="G64" s="804">
        <f>E63+E62</f>
        <v>11165000</v>
      </c>
      <c r="H64" s="805">
        <f>F63+F64</f>
        <v>25121250</v>
      </c>
      <c r="I64" s="677"/>
      <c r="J64" s="806">
        <f>F64+E64</f>
        <v>17305750</v>
      </c>
    </row>
    <row r="65" spans="1:11">
      <c r="A65" s="632">
        <v>30</v>
      </c>
      <c r="B65" s="665">
        <v>6</v>
      </c>
      <c r="C65" s="676">
        <v>3</v>
      </c>
      <c r="D65" s="790">
        <f t="shared" si="5"/>
        <v>27912500</v>
      </c>
      <c r="E65" s="801">
        <f t="shared" si="4"/>
        <v>5582500</v>
      </c>
      <c r="F65" s="791">
        <f t="shared" ref="F65:F70" si="6">$C$49*D64</f>
        <v>10048500</v>
      </c>
      <c r="G65" s="640"/>
      <c r="H65" s="640"/>
      <c r="I65" s="677"/>
      <c r="J65" s="806">
        <f>F65+E65</f>
        <v>15631000</v>
      </c>
    </row>
    <row r="66" spans="1:11">
      <c r="A66" s="632">
        <v>31</v>
      </c>
      <c r="B66" s="665">
        <v>12</v>
      </c>
      <c r="C66" s="676">
        <v>3</v>
      </c>
      <c r="D66" s="790">
        <f t="shared" si="5"/>
        <v>22330000</v>
      </c>
      <c r="E66" s="801">
        <f t="shared" si="4"/>
        <v>5582500</v>
      </c>
      <c r="F66" s="791">
        <f t="shared" si="6"/>
        <v>8373750</v>
      </c>
      <c r="G66" s="804">
        <f>E65+E64</f>
        <v>11165000</v>
      </c>
      <c r="H66" s="805">
        <f>F65+F66</f>
        <v>18422250</v>
      </c>
      <c r="I66" s="677"/>
      <c r="J66" s="806">
        <f t="shared" ref="J66:J70" si="7">F66+E66</f>
        <v>13956250</v>
      </c>
    </row>
    <row r="67" spans="1:11">
      <c r="A67" s="632">
        <v>30</v>
      </c>
      <c r="B67" s="665">
        <v>6</v>
      </c>
      <c r="C67" s="676">
        <v>4</v>
      </c>
      <c r="D67" s="790">
        <f t="shared" si="5"/>
        <v>16747500</v>
      </c>
      <c r="E67" s="801">
        <f t="shared" si="4"/>
        <v>5582500</v>
      </c>
      <c r="F67" s="791">
        <f t="shared" si="6"/>
        <v>6699000</v>
      </c>
      <c r="G67" s="640"/>
      <c r="H67" s="640"/>
      <c r="I67" s="677"/>
      <c r="J67" s="806">
        <f t="shared" si="7"/>
        <v>12281500</v>
      </c>
    </row>
    <row r="68" spans="1:11">
      <c r="A68" s="632">
        <v>31</v>
      </c>
      <c r="B68" s="665">
        <v>12</v>
      </c>
      <c r="C68" s="676">
        <v>4</v>
      </c>
      <c r="D68" s="790">
        <f t="shared" si="5"/>
        <v>11165000</v>
      </c>
      <c r="E68" s="801">
        <f t="shared" si="4"/>
        <v>5582500</v>
      </c>
      <c r="F68" s="791">
        <f t="shared" si="6"/>
        <v>5024250</v>
      </c>
      <c r="G68" s="804">
        <f>E67+E66</f>
        <v>11165000</v>
      </c>
      <c r="H68" s="805">
        <f>F67+F68</f>
        <v>11723250</v>
      </c>
      <c r="I68" s="677"/>
      <c r="J68" s="806">
        <f t="shared" si="7"/>
        <v>10606750</v>
      </c>
    </row>
    <row r="69" spans="1:11">
      <c r="A69" s="632">
        <v>30</v>
      </c>
      <c r="B69" s="665">
        <v>6</v>
      </c>
      <c r="C69" s="676">
        <v>5</v>
      </c>
      <c r="D69" s="790">
        <f t="shared" si="5"/>
        <v>5582500</v>
      </c>
      <c r="E69" s="801">
        <f t="shared" si="4"/>
        <v>5582500</v>
      </c>
      <c r="F69" s="791">
        <f t="shared" si="6"/>
        <v>3349500</v>
      </c>
      <c r="G69" s="640"/>
      <c r="H69" s="640"/>
      <c r="I69" s="677"/>
      <c r="J69" s="806">
        <f t="shared" si="7"/>
        <v>8932000</v>
      </c>
    </row>
    <row r="70" spans="1:11">
      <c r="A70" s="683">
        <v>31</v>
      </c>
      <c r="B70" s="639">
        <v>12</v>
      </c>
      <c r="C70" s="679">
        <v>5</v>
      </c>
      <c r="D70" s="790">
        <f>D69-E69</f>
        <v>0</v>
      </c>
      <c r="F70" s="791">
        <f t="shared" si="6"/>
        <v>1674750</v>
      </c>
      <c r="G70" s="804">
        <f>E68+E69</f>
        <v>11165000</v>
      </c>
      <c r="H70" s="805">
        <f>F69+F70</f>
        <v>5024250</v>
      </c>
      <c r="I70" s="640"/>
      <c r="J70" s="806">
        <f t="shared" si="7"/>
        <v>1674750</v>
      </c>
    </row>
    <row r="71" spans="1:11">
      <c r="A71" s="1041" t="s">
        <v>224</v>
      </c>
      <c r="B71" s="1042"/>
      <c r="C71" s="1042"/>
      <c r="D71" s="1043"/>
      <c r="E71" s="802">
        <f>SUM(E61:E69)</f>
        <v>44660000</v>
      </c>
      <c r="F71" s="803">
        <f>SUM(F60:F70)</f>
        <v>87087000</v>
      </c>
      <c r="G71" s="802">
        <f>SUM(G62:G70)</f>
        <v>44660000</v>
      </c>
      <c r="H71" s="803">
        <f>SUM(H62:H70)</f>
        <v>87087000</v>
      </c>
      <c r="I71" s="641"/>
      <c r="J71" s="807">
        <f>SUM(J61:J70)</f>
        <v>131747000</v>
      </c>
    </row>
    <row r="73" spans="1:11" ht="18">
      <c r="A73" s="875" t="s">
        <v>760</v>
      </c>
      <c r="B73" s="875"/>
      <c r="C73" s="875"/>
      <c r="D73" s="876"/>
    </row>
    <row r="75" spans="1:11">
      <c r="A75" s="1024" t="s">
        <v>729</v>
      </c>
      <c r="B75" s="1025"/>
      <c r="C75" s="1025"/>
      <c r="D75" s="1025"/>
      <c r="E75" s="1025"/>
      <c r="F75" s="1025"/>
      <c r="G75" s="1026"/>
      <c r="H75" s="631"/>
      <c r="I75" s="1049" t="s">
        <v>731</v>
      </c>
      <c r="J75" s="1049"/>
      <c r="K75" s="563" t="s">
        <v>761</v>
      </c>
    </row>
    <row r="76" spans="1:11">
      <c r="A76" s="661" t="s">
        <v>730</v>
      </c>
      <c r="B76" s="631"/>
      <c r="C76" s="631"/>
      <c r="D76" s="631"/>
      <c r="E76" s="631"/>
      <c r="F76" s="631"/>
      <c r="G76" s="662"/>
      <c r="H76" s="631"/>
      <c r="I76" s="631"/>
      <c r="J76" s="631"/>
    </row>
    <row r="77" spans="1:11">
      <c r="A77" s="661" t="s">
        <v>733</v>
      </c>
      <c r="B77" s="631" t="s">
        <v>734</v>
      </c>
      <c r="C77" s="663">
        <v>0.6</v>
      </c>
      <c r="D77" s="631" t="s">
        <v>762</v>
      </c>
      <c r="E77" s="631"/>
      <c r="F77" s="634"/>
      <c r="G77" s="662"/>
      <c r="H77" s="631"/>
      <c r="I77" s="631"/>
      <c r="J77" s="631"/>
    </row>
    <row r="78" spans="1:11">
      <c r="A78" s="661" t="s">
        <v>736</v>
      </c>
      <c r="B78" s="664"/>
      <c r="C78" s="791">
        <f>'E-Inv AF y Am'!B11</f>
        <v>16385145</v>
      </c>
      <c r="D78" s="631"/>
      <c r="E78" s="638" t="s">
        <v>737</v>
      </c>
      <c r="F78" s="808">
        <f>C77*C78</f>
        <v>9831087</v>
      </c>
      <c r="G78" s="662"/>
      <c r="H78" s="631"/>
      <c r="I78" s="631"/>
      <c r="J78" s="631"/>
    </row>
    <row r="79" spans="1:11" ht="28.5" customHeight="1">
      <c r="A79" s="661" t="s">
        <v>738</v>
      </c>
      <c r="B79" s="631"/>
      <c r="C79" s="667">
        <v>10</v>
      </c>
      <c r="D79" s="668" t="s">
        <v>763</v>
      </c>
      <c r="E79" s="631"/>
      <c r="F79" s="631"/>
      <c r="G79" s="631"/>
      <c r="H79" s="631"/>
      <c r="I79" s="631"/>
      <c r="J79" s="631"/>
    </row>
    <row r="80" spans="1:11">
      <c r="A80" s="661" t="s">
        <v>740</v>
      </c>
      <c r="B80" s="631"/>
      <c r="C80" s="669">
        <v>0.25</v>
      </c>
      <c r="D80" s="631" t="s">
        <v>764</v>
      </c>
      <c r="E80" s="631"/>
      <c r="F80" s="631"/>
      <c r="G80" s="662"/>
      <c r="H80" s="631"/>
      <c r="I80" s="631"/>
      <c r="J80" s="631"/>
    </row>
    <row r="81" spans="1:14">
      <c r="A81" s="661" t="s">
        <v>742</v>
      </c>
      <c r="B81" s="631"/>
      <c r="C81" s="629" t="s">
        <v>743</v>
      </c>
      <c r="D81" s="631"/>
      <c r="E81" s="631"/>
      <c r="F81" s="631"/>
      <c r="G81" s="631"/>
      <c r="H81" s="631"/>
      <c r="I81" s="631"/>
      <c r="J81" s="631"/>
    </row>
    <row r="82" spans="1:14">
      <c r="A82" s="670" t="s">
        <v>744</v>
      </c>
      <c r="B82" s="634"/>
      <c r="C82" s="671">
        <v>0.03</v>
      </c>
      <c r="D82" s="634" t="s">
        <v>745</v>
      </c>
      <c r="E82" s="634"/>
      <c r="F82" s="634"/>
      <c r="G82" s="672"/>
      <c r="H82" s="631"/>
      <c r="I82" s="631"/>
      <c r="J82" s="631"/>
    </row>
    <row r="83" spans="1:14">
      <c r="A83" s="634"/>
      <c r="B83" s="634"/>
      <c r="C83" s="634"/>
      <c r="D83" s="634"/>
      <c r="E83" s="634"/>
      <c r="F83" s="634"/>
      <c r="G83" s="634"/>
      <c r="H83" s="634"/>
      <c r="I83" s="634"/>
      <c r="J83" s="634"/>
    </row>
    <row r="84" spans="1:14">
      <c r="A84" s="1027" t="s">
        <v>746</v>
      </c>
      <c r="B84" s="1028"/>
      <c r="C84" s="1029"/>
      <c r="D84" s="1030" t="s">
        <v>747</v>
      </c>
      <c r="E84" s="1032" t="s">
        <v>748</v>
      </c>
      <c r="F84" s="1034" t="s">
        <v>749</v>
      </c>
      <c r="G84" s="1034" t="s">
        <v>750</v>
      </c>
      <c r="H84" s="1034" t="s">
        <v>751</v>
      </c>
      <c r="I84" s="1034" t="s">
        <v>752</v>
      </c>
      <c r="J84" s="1036" t="s">
        <v>753</v>
      </c>
    </row>
    <row r="85" spans="1:14">
      <c r="A85" s="673" t="s">
        <v>754</v>
      </c>
      <c r="B85" s="674" t="s">
        <v>755</v>
      </c>
      <c r="C85" s="675" t="s">
        <v>756</v>
      </c>
      <c r="D85" s="1031"/>
      <c r="E85" s="1033"/>
      <c r="F85" s="1035"/>
      <c r="G85" s="1035"/>
      <c r="H85" s="1035"/>
      <c r="I85" s="1035"/>
      <c r="J85" s="1037"/>
      <c r="L85" s="1046" t="s">
        <v>758</v>
      </c>
      <c r="M85" s="1046"/>
      <c r="N85" s="1046"/>
    </row>
    <row r="86" spans="1:14">
      <c r="A86" s="632">
        <v>1</v>
      </c>
      <c r="B86" s="665">
        <v>8</v>
      </c>
      <c r="C86" s="676">
        <v>-1</v>
      </c>
      <c r="D86" s="790">
        <f>F78</f>
        <v>9831087</v>
      </c>
      <c r="E86" s="677"/>
      <c r="F86" s="677"/>
      <c r="G86" s="677"/>
      <c r="H86" s="677"/>
      <c r="I86" s="791">
        <f>D86*C82</f>
        <v>294932.61</v>
      </c>
      <c r="J86" s="678"/>
      <c r="L86" s="1047">
        <f>F78/C79</f>
        <v>983108.7</v>
      </c>
      <c r="M86" s="1023"/>
      <c r="N86" s="1023"/>
    </row>
    <row r="87" spans="1:14">
      <c r="A87" s="632">
        <v>31</v>
      </c>
      <c r="B87" s="665">
        <v>12</v>
      </c>
      <c r="C87" s="679">
        <v>-1</v>
      </c>
      <c r="D87" s="795">
        <f>D86</f>
        <v>9831087</v>
      </c>
      <c r="E87" s="640"/>
      <c r="F87" s="796">
        <f>D87*((C80/(6))*4)</f>
        <v>1638514.5</v>
      </c>
      <c r="G87" s="640"/>
      <c r="H87" s="640"/>
      <c r="I87" s="640"/>
      <c r="J87" s="680"/>
      <c r="L87" s="1023"/>
      <c r="M87" s="1023"/>
      <c r="N87" s="1023"/>
    </row>
    <row r="88" spans="1:14">
      <c r="A88" s="681"/>
      <c r="B88" s="682"/>
      <c r="C88" s="1038" t="s">
        <v>759</v>
      </c>
      <c r="D88" s="1039"/>
      <c r="E88" s="1040"/>
      <c r="F88" s="809">
        <f>F87</f>
        <v>1638514.5</v>
      </c>
      <c r="G88" s="640"/>
      <c r="H88" s="809">
        <f>F88</f>
        <v>1638514.5</v>
      </c>
      <c r="I88" s="809">
        <f>C82*F78</f>
        <v>294932.61</v>
      </c>
      <c r="J88" s="799">
        <f>I88+H88</f>
        <v>1933447.1099999999</v>
      </c>
    </row>
    <row r="89" spans="1:14">
      <c r="A89" s="632">
        <v>1</v>
      </c>
      <c r="B89" s="665">
        <v>1</v>
      </c>
      <c r="C89" s="676">
        <v>1</v>
      </c>
      <c r="D89" s="790">
        <f>D87</f>
        <v>9831087</v>
      </c>
      <c r="E89" s="677"/>
      <c r="F89" s="677"/>
      <c r="G89" s="677"/>
      <c r="H89" s="677"/>
      <c r="I89" s="677"/>
      <c r="J89" s="678"/>
    </row>
    <row r="90" spans="1:14">
      <c r="A90" s="632">
        <v>30</v>
      </c>
      <c r="B90" s="665">
        <v>6</v>
      </c>
      <c r="C90" s="676">
        <v>1</v>
      </c>
      <c r="D90" s="790">
        <f>D89-E89</f>
        <v>9831087</v>
      </c>
      <c r="E90" s="791">
        <f>$L$86</f>
        <v>983108.7</v>
      </c>
      <c r="F90" s="791">
        <f>D89*C80</f>
        <v>2457771.75</v>
      </c>
      <c r="G90" s="640"/>
      <c r="H90" s="640"/>
      <c r="I90" s="677"/>
      <c r="J90" s="806">
        <f>F90+E90</f>
        <v>3440880.45</v>
      </c>
    </row>
    <row r="91" spans="1:14">
      <c r="A91" s="632">
        <v>31</v>
      </c>
      <c r="B91" s="665">
        <v>12</v>
      </c>
      <c r="C91" s="676">
        <v>1</v>
      </c>
      <c r="D91" s="877">
        <f t="shared" ref="D91:D99" si="8">D90-E90</f>
        <v>8847978.3000000007</v>
      </c>
      <c r="E91" s="791">
        <f t="shared" ref="E91:E99" si="9">$L$86</f>
        <v>983108.7</v>
      </c>
      <c r="F91" s="790">
        <f>$C$80*D90</f>
        <v>2457771.75</v>
      </c>
      <c r="G91" s="809">
        <f>E90+E91</f>
        <v>1966217.4</v>
      </c>
      <c r="H91" s="805">
        <f>F91+F90</f>
        <v>4915543.5</v>
      </c>
      <c r="I91" s="677"/>
      <c r="J91" s="806">
        <f t="shared" ref="J91:J99" si="10">F91+E91</f>
        <v>3440880.45</v>
      </c>
    </row>
    <row r="92" spans="1:14">
      <c r="A92" s="632">
        <v>30</v>
      </c>
      <c r="B92" s="665">
        <v>6</v>
      </c>
      <c r="C92" s="676">
        <v>2</v>
      </c>
      <c r="D92" s="790">
        <f t="shared" si="8"/>
        <v>7864869.6000000006</v>
      </c>
      <c r="E92" s="791">
        <f t="shared" si="9"/>
        <v>983108.7</v>
      </c>
      <c r="F92" s="790">
        <f t="shared" ref="F92:F99" si="11">$C$80*D91</f>
        <v>2211994.5750000002</v>
      </c>
      <c r="G92" s="640"/>
      <c r="H92" s="640"/>
      <c r="I92" s="677"/>
      <c r="J92" s="806">
        <f t="shared" si="10"/>
        <v>3195103.2750000004</v>
      </c>
    </row>
    <row r="93" spans="1:14">
      <c r="A93" s="632">
        <v>31</v>
      </c>
      <c r="B93" s="665">
        <v>12</v>
      </c>
      <c r="C93" s="676">
        <v>2</v>
      </c>
      <c r="D93" s="877">
        <f t="shared" si="8"/>
        <v>6881760.9000000004</v>
      </c>
      <c r="E93" s="791">
        <f t="shared" si="9"/>
        <v>983108.7</v>
      </c>
      <c r="F93" s="790">
        <f t="shared" si="11"/>
        <v>1966217.4000000001</v>
      </c>
      <c r="G93" s="809">
        <f>E93+E92</f>
        <v>1966217.4</v>
      </c>
      <c r="H93" s="805">
        <f>F93+F92</f>
        <v>4178211.9750000006</v>
      </c>
      <c r="I93" s="677"/>
      <c r="J93" s="806">
        <f t="shared" si="10"/>
        <v>2949326.1</v>
      </c>
    </row>
    <row r="94" spans="1:14">
      <c r="A94" s="632">
        <v>30</v>
      </c>
      <c r="B94" s="665">
        <v>6</v>
      </c>
      <c r="C94" s="676">
        <v>3</v>
      </c>
      <c r="D94" s="790">
        <f t="shared" si="8"/>
        <v>5898652.2000000002</v>
      </c>
      <c r="E94" s="791">
        <f t="shared" si="9"/>
        <v>983108.7</v>
      </c>
      <c r="F94" s="790">
        <f t="shared" si="11"/>
        <v>1720440.2250000001</v>
      </c>
      <c r="G94" s="640"/>
      <c r="H94" s="640"/>
      <c r="I94" s="677"/>
      <c r="J94" s="806">
        <f t="shared" si="10"/>
        <v>2703548.9249999998</v>
      </c>
    </row>
    <row r="95" spans="1:14">
      <c r="A95" s="632">
        <v>31</v>
      </c>
      <c r="B95" s="665">
        <v>12</v>
      </c>
      <c r="C95" s="676">
        <v>3</v>
      </c>
      <c r="D95" s="877">
        <f t="shared" si="8"/>
        <v>4915543.5</v>
      </c>
      <c r="E95" s="791">
        <f t="shared" si="9"/>
        <v>983108.7</v>
      </c>
      <c r="F95" s="790">
        <f t="shared" si="11"/>
        <v>1474663.05</v>
      </c>
      <c r="G95" s="809">
        <f>E95+E94</f>
        <v>1966217.4</v>
      </c>
      <c r="H95" s="805">
        <f>F95+F94</f>
        <v>3195103.2750000004</v>
      </c>
      <c r="I95" s="677"/>
      <c r="J95" s="806">
        <f t="shared" si="10"/>
        <v>2457771.75</v>
      </c>
    </row>
    <row r="96" spans="1:14">
      <c r="A96" s="632">
        <v>30</v>
      </c>
      <c r="B96" s="665">
        <v>6</v>
      </c>
      <c r="C96" s="676">
        <v>4</v>
      </c>
      <c r="D96" s="790">
        <f t="shared" si="8"/>
        <v>3932434.8</v>
      </c>
      <c r="E96" s="791">
        <f t="shared" si="9"/>
        <v>983108.7</v>
      </c>
      <c r="F96" s="790">
        <f t="shared" si="11"/>
        <v>1228885.875</v>
      </c>
      <c r="G96" s="640"/>
      <c r="H96" s="640"/>
      <c r="I96" s="677"/>
      <c r="J96" s="806">
        <f t="shared" si="10"/>
        <v>2211994.5750000002</v>
      </c>
    </row>
    <row r="97" spans="1:10">
      <c r="A97" s="632">
        <v>31</v>
      </c>
      <c r="B97" s="665">
        <v>12</v>
      </c>
      <c r="C97" s="676">
        <v>4</v>
      </c>
      <c r="D97" s="790">
        <f t="shared" si="8"/>
        <v>2949326.0999999996</v>
      </c>
      <c r="E97" s="791">
        <f t="shared" si="9"/>
        <v>983108.7</v>
      </c>
      <c r="F97" s="790">
        <f t="shared" si="11"/>
        <v>983108.7</v>
      </c>
      <c r="G97" s="809">
        <f>E97+E96</f>
        <v>1966217.4</v>
      </c>
      <c r="H97" s="805">
        <f>F97+F96</f>
        <v>2211994.5750000002</v>
      </c>
      <c r="I97" s="677"/>
      <c r="J97" s="806">
        <f t="shared" si="10"/>
        <v>1966217.4</v>
      </c>
    </row>
    <row r="98" spans="1:10">
      <c r="A98" s="632">
        <v>30</v>
      </c>
      <c r="B98" s="665">
        <v>6</v>
      </c>
      <c r="C98" s="676">
        <v>5</v>
      </c>
      <c r="D98" s="790">
        <f t="shared" si="8"/>
        <v>1966217.3999999997</v>
      </c>
      <c r="E98" s="791">
        <f t="shared" si="9"/>
        <v>983108.7</v>
      </c>
      <c r="F98" s="790">
        <f t="shared" si="11"/>
        <v>737331.52499999991</v>
      </c>
      <c r="G98" s="640"/>
      <c r="H98" s="640"/>
      <c r="I98" s="677"/>
      <c r="J98" s="806">
        <f t="shared" si="10"/>
        <v>1720440.2249999999</v>
      </c>
    </row>
    <row r="99" spans="1:10">
      <c r="A99" s="632">
        <v>31</v>
      </c>
      <c r="B99" s="665">
        <v>12</v>
      </c>
      <c r="C99" s="676">
        <v>5</v>
      </c>
      <c r="D99" s="790">
        <f t="shared" si="8"/>
        <v>983108.69999999972</v>
      </c>
      <c r="E99" s="791">
        <f t="shared" si="9"/>
        <v>983108.7</v>
      </c>
      <c r="F99" s="790">
        <f t="shared" si="11"/>
        <v>491554.34999999992</v>
      </c>
      <c r="G99" s="809">
        <f>E99+E98</f>
        <v>1966217.4</v>
      </c>
      <c r="H99" s="805">
        <f>F99+F98</f>
        <v>1228885.8749999998</v>
      </c>
      <c r="I99" s="640"/>
      <c r="J99" s="806">
        <f t="shared" si="10"/>
        <v>1474663.0499999998</v>
      </c>
    </row>
    <row r="100" spans="1:10">
      <c r="A100" s="632">
        <v>1</v>
      </c>
      <c r="B100" s="665">
        <v>1</v>
      </c>
      <c r="C100" s="676">
        <v>6</v>
      </c>
      <c r="D100" s="871">
        <f>D99-E99</f>
        <v>0</v>
      </c>
      <c r="E100" s="632"/>
      <c r="F100" s="665"/>
      <c r="G100" s="632"/>
      <c r="H100" s="665"/>
      <c r="I100" s="632"/>
      <c r="J100" s="665"/>
    </row>
    <row r="101" spans="1:10">
      <c r="A101" s="1041" t="s">
        <v>224</v>
      </c>
      <c r="B101" s="1042"/>
      <c r="C101" s="1042"/>
      <c r="D101" s="1043"/>
      <c r="E101" s="803">
        <f>SUM(E90:E99)</f>
        <v>9831087</v>
      </c>
      <c r="F101" s="803">
        <f>SUM(F90:F99)</f>
        <v>15729739.199999999</v>
      </c>
      <c r="G101" s="803">
        <f>SUM(G91:G99)</f>
        <v>9831087</v>
      </c>
      <c r="H101" s="803">
        <f>SUM(H91:H99)</f>
        <v>15729739.200000003</v>
      </c>
      <c r="I101" s="641"/>
      <c r="J101" s="807">
        <f>SUM(J90:J99)</f>
        <v>25560826.199999999</v>
      </c>
    </row>
    <row r="102" spans="1:10">
      <c r="A102" s="631"/>
      <c r="B102" s="634"/>
      <c r="C102" s="634"/>
      <c r="D102" s="634"/>
      <c r="E102" s="631"/>
      <c r="F102" s="631"/>
      <c r="G102" s="631"/>
      <c r="H102" s="631"/>
      <c r="I102" s="631"/>
      <c r="J102" s="631"/>
    </row>
    <row r="103" spans="1:10">
      <c r="A103" s="662"/>
      <c r="B103" s="635" t="s">
        <v>765</v>
      </c>
      <c r="C103" s="634"/>
      <c r="D103" s="810">
        <f>J59+J88</f>
        <v>14438247.109999999</v>
      </c>
      <c r="E103" s="631"/>
      <c r="F103" s="631"/>
      <c r="G103" s="631"/>
      <c r="H103" s="631"/>
      <c r="I103" s="631"/>
      <c r="J103" s="631"/>
    </row>
    <row r="106" spans="1:10" ht="15.75">
      <c r="A106" s="1044" t="s">
        <v>766</v>
      </c>
      <c r="B106" s="1044"/>
      <c r="C106" s="1044"/>
      <c r="D106" s="1044"/>
      <c r="E106" s="1044"/>
      <c r="F106" s="1044"/>
      <c r="G106" s="1044"/>
      <c r="H106" s="1044"/>
      <c r="I106" s="1044"/>
    </row>
    <row r="107" spans="1:10">
      <c r="A107" s="631"/>
      <c r="B107" s="631"/>
      <c r="C107" s="631"/>
      <c r="D107" s="631"/>
      <c r="E107" s="631"/>
      <c r="F107" s="631"/>
      <c r="G107" s="631"/>
      <c r="H107" s="631"/>
      <c r="I107" s="631"/>
    </row>
    <row r="108" spans="1:10">
      <c r="A108" s="631"/>
      <c r="B108" s="631"/>
      <c r="C108" s="631"/>
      <c r="D108" s="631"/>
      <c r="E108" s="631"/>
      <c r="F108" s="631"/>
      <c r="G108" s="631"/>
      <c r="H108" s="631"/>
      <c r="I108" s="631"/>
    </row>
    <row r="109" spans="1:10" ht="15.75">
      <c r="A109" s="1044" t="s">
        <v>767</v>
      </c>
      <c r="B109" s="1044"/>
      <c r="C109" s="1044"/>
      <c r="D109" s="1044"/>
      <c r="E109" s="1044"/>
      <c r="F109" s="1044"/>
      <c r="G109" s="1044"/>
      <c r="H109" s="1044"/>
      <c r="I109" s="1044"/>
    </row>
    <row r="110" spans="1:10" ht="15">
      <c r="A110" s="631"/>
      <c r="B110" s="631"/>
      <c r="C110" s="631"/>
      <c r="D110" s="631"/>
      <c r="E110" s="631"/>
      <c r="F110" s="631" t="s">
        <v>768</v>
      </c>
      <c r="G110" s="631"/>
      <c r="H110" s="631">
        <v>3</v>
      </c>
      <c r="I110" s="658" t="s">
        <v>769</v>
      </c>
    </row>
    <row r="111" spans="1:10">
      <c r="A111" s="634" t="s">
        <v>770</v>
      </c>
      <c r="B111" s="630">
        <v>5</v>
      </c>
      <c r="C111" s="634"/>
      <c r="D111" s="634"/>
      <c r="E111" s="634"/>
      <c r="F111" s="631"/>
      <c r="G111" s="631"/>
      <c r="H111" s="631"/>
      <c r="I111" s="631"/>
    </row>
    <row r="112" spans="1:10" ht="38.25">
      <c r="A112" s="686" t="s">
        <v>771</v>
      </c>
      <c r="B112" s="687" t="s">
        <v>772</v>
      </c>
      <c r="C112" s="687" t="s">
        <v>773</v>
      </c>
      <c r="D112" s="687" t="s">
        <v>774</v>
      </c>
      <c r="E112" s="688" t="s">
        <v>775</v>
      </c>
      <c r="F112" s="631"/>
      <c r="G112" s="631"/>
      <c r="H112" s="631"/>
      <c r="I112" s="631"/>
    </row>
    <row r="113" spans="1:14">
      <c r="A113" s="632">
        <v>1</v>
      </c>
      <c r="B113" s="791">
        <f>($J$88+$J$59)/$H$110</f>
        <v>4812749.0366666662</v>
      </c>
      <c r="C113" s="791">
        <f>$B$17</f>
        <v>287842.06393800001</v>
      </c>
      <c r="D113" s="791">
        <f>H91+H62</f>
        <v>31711543.5</v>
      </c>
      <c r="E113" s="806">
        <f>SUM(B113:D113)</f>
        <v>36812134.600604668</v>
      </c>
      <c r="F113" s="631"/>
      <c r="G113" s="631"/>
      <c r="H113" s="631"/>
      <c r="I113" s="631"/>
    </row>
    <row r="114" spans="1:14">
      <c r="A114" s="632">
        <v>2</v>
      </c>
      <c r="B114" s="791">
        <f>($J$88+$J$59)/$H$110</f>
        <v>4812749.0366666662</v>
      </c>
      <c r="C114" s="791">
        <f t="shared" ref="C114:C117" si="12">$B$17</f>
        <v>287842.06393800001</v>
      </c>
      <c r="D114" s="791">
        <f>H93+H64</f>
        <v>29299461.975000001</v>
      </c>
      <c r="E114" s="806">
        <f t="shared" ref="E114:E117" si="13">SUM(B114:D114)</f>
        <v>34400053.07560467</v>
      </c>
      <c r="F114" s="631"/>
      <c r="G114" s="631"/>
      <c r="H114" s="631"/>
      <c r="I114" s="631"/>
    </row>
    <row r="115" spans="1:14">
      <c r="A115" s="632">
        <v>3</v>
      </c>
      <c r="B115" s="791">
        <f>($J$88+$J$59)/$H$110</f>
        <v>4812749.0366666662</v>
      </c>
      <c r="C115" s="791">
        <f t="shared" si="12"/>
        <v>287842.06393800001</v>
      </c>
      <c r="D115" s="791">
        <f>H95+H66</f>
        <v>21617353.274999999</v>
      </c>
      <c r="E115" s="806">
        <f t="shared" si="13"/>
        <v>26717944.375604667</v>
      </c>
      <c r="F115" s="631"/>
      <c r="G115" s="631"/>
      <c r="H115" s="631"/>
      <c r="I115" s="631"/>
    </row>
    <row r="116" spans="1:14">
      <c r="A116" s="632">
        <v>4</v>
      </c>
      <c r="B116" s="665"/>
      <c r="C116" s="791">
        <f t="shared" si="12"/>
        <v>287842.06393800001</v>
      </c>
      <c r="D116" s="791">
        <f>H97+H68</f>
        <v>13935244.574999999</v>
      </c>
      <c r="E116" s="806">
        <f t="shared" si="13"/>
        <v>14223086.638937999</v>
      </c>
      <c r="F116" s="631"/>
      <c r="G116" s="631"/>
      <c r="H116" s="631"/>
      <c r="I116" s="631"/>
    </row>
    <row r="117" spans="1:14">
      <c r="A117" s="632">
        <v>5</v>
      </c>
      <c r="B117" s="665"/>
      <c r="C117" s="791">
        <f t="shared" si="12"/>
        <v>287842.06393800001</v>
      </c>
      <c r="D117" s="791">
        <f>H99+H70</f>
        <v>6253135.875</v>
      </c>
      <c r="E117" s="806">
        <f t="shared" si="13"/>
        <v>6540977.9389380002</v>
      </c>
      <c r="F117" s="631"/>
      <c r="G117" s="631"/>
      <c r="H117" s="631"/>
      <c r="I117" s="631"/>
    </row>
    <row r="118" spans="1:14">
      <c r="A118" s="689" t="s">
        <v>776</v>
      </c>
      <c r="B118" s="803">
        <f t="shared" ref="B118" si="14">SUM(B113:B117)</f>
        <v>14438247.109999999</v>
      </c>
      <c r="C118" s="803">
        <f t="shared" ref="C118" si="15">SUM(C113:C117)</f>
        <v>1439210.31969</v>
      </c>
      <c r="D118" s="803">
        <f t="shared" ref="D118:E118" si="16">SUM(D113:D117)</f>
        <v>102816739.2</v>
      </c>
      <c r="E118" s="803">
        <f t="shared" si="16"/>
        <v>118694196.62968999</v>
      </c>
      <c r="F118" s="631"/>
      <c r="G118" s="631"/>
      <c r="H118" s="631"/>
      <c r="I118" s="631"/>
    </row>
    <row r="119" spans="1:14">
      <c r="A119" s="631"/>
      <c r="B119" s="631"/>
      <c r="C119" s="631"/>
      <c r="D119" s="631"/>
      <c r="E119" s="631"/>
      <c r="F119" s="631"/>
      <c r="G119" s="631"/>
      <c r="H119" s="631"/>
      <c r="I119" s="631"/>
    </row>
    <row r="120" spans="1:14" ht="15.75">
      <c r="A120" s="1044" t="s">
        <v>777</v>
      </c>
      <c r="B120" s="1044"/>
      <c r="C120" s="1044"/>
      <c r="D120" s="1044"/>
      <c r="E120" s="1044"/>
      <c r="F120" s="1044"/>
      <c r="G120" s="1044"/>
      <c r="H120" s="1044"/>
      <c r="I120" s="1044"/>
    </row>
    <row r="121" spans="1:14">
      <c r="A121" s="631"/>
      <c r="B121" s="631"/>
      <c r="C121" s="631"/>
      <c r="D121" s="631"/>
      <c r="E121" s="631"/>
      <c r="F121" s="631"/>
      <c r="G121" s="631"/>
      <c r="H121" s="631"/>
      <c r="I121" s="631"/>
    </row>
    <row r="122" spans="1:14">
      <c r="A122" s="631"/>
      <c r="B122" s="631"/>
      <c r="C122" s="631"/>
      <c r="D122" s="631"/>
      <c r="E122" s="631"/>
      <c r="F122" s="631"/>
      <c r="G122" s="631"/>
      <c r="H122" s="631"/>
      <c r="I122" s="631"/>
    </row>
    <row r="123" spans="1:14" ht="15.75">
      <c r="A123" s="1044" t="s">
        <v>778</v>
      </c>
      <c r="B123" s="1044"/>
      <c r="C123" s="1044"/>
      <c r="D123" s="1044"/>
      <c r="E123" s="1044"/>
      <c r="F123" s="1044"/>
      <c r="G123" s="1044"/>
      <c r="H123" s="1044"/>
      <c r="I123" s="1044"/>
    </row>
    <row r="124" spans="1:14">
      <c r="A124" s="631"/>
      <c r="B124" s="631"/>
      <c r="C124" s="631"/>
      <c r="D124" s="631"/>
      <c r="E124" s="631"/>
      <c r="F124" s="631"/>
      <c r="G124" s="631"/>
      <c r="H124" s="631"/>
      <c r="I124" s="631"/>
    </row>
    <row r="125" spans="1:14">
      <c r="A125" s="631"/>
      <c r="B125" s="631"/>
      <c r="C125" s="631"/>
      <c r="D125" s="631"/>
      <c r="E125" s="631"/>
      <c r="F125" s="631"/>
      <c r="G125" s="631"/>
      <c r="H125" s="631"/>
      <c r="I125" s="631"/>
    </row>
    <row r="126" spans="1:14">
      <c r="A126" s="631"/>
      <c r="B126" s="631"/>
      <c r="C126" s="631"/>
      <c r="D126" s="631"/>
      <c r="E126" s="631"/>
      <c r="F126" s="631"/>
      <c r="G126" s="631"/>
      <c r="H126" s="692"/>
      <c r="I126" s="631"/>
      <c r="J126" s="631"/>
      <c r="K126" s="631"/>
      <c r="L126" s="631"/>
      <c r="M126" s="159"/>
    </row>
    <row r="127" spans="1:14" ht="15">
      <c r="A127" s="693" t="s">
        <v>779</v>
      </c>
      <c r="B127" s="631"/>
      <c r="C127" s="631"/>
      <c r="D127" s="631"/>
      <c r="E127" s="631"/>
      <c r="F127" s="631"/>
      <c r="G127" s="664"/>
      <c r="H127" s="791">
        <f>B118*(1+21%)</f>
        <v>17470279.0031</v>
      </c>
      <c r="I127" s="631"/>
      <c r="J127" s="631" t="s">
        <v>780</v>
      </c>
      <c r="K127" s="631"/>
      <c r="L127" s="695"/>
      <c r="M127" s="811">
        <f>H127/'E-Inv AF y Am'!G57</f>
        <v>0.14703080301181806</v>
      </c>
      <c r="N127" s="159"/>
    </row>
    <row r="128" spans="1:14">
      <c r="A128" s="631"/>
      <c r="B128" s="631"/>
      <c r="C128" s="631"/>
      <c r="D128" s="631"/>
      <c r="E128" s="631"/>
      <c r="F128" s="631"/>
      <c r="G128" s="631"/>
      <c r="H128" s="631"/>
      <c r="I128" s="631"/>
      <c r="J128" s="631"/>
      <c r="K128" s="631"/>
      <c r="L128" s="631"/>
      <c r="M128" s="159"/>
    </row>
    <row r="129" spans="1:12" ht="15">
      <c r="A129" s="631"/>
      <c r="B129" s="631"/>
      <c r="C129" s="694" t="s">
        <v>781</v>
      </c>
      <c r="D129" s="631"/>
      <c r="E129" s="631"/>
      <c r="F129" s="631"/>
      <c r="G129" s="631"/>
      <c r="H129" s="631"/>
      <c r="I129" s="631"/>
      <c r="J129" s="631"/>
      <c r="K129" s="631"/>
      <c r="L129" s="631"/>
    </row>
    <row r="130" spans="1:12" ht="15">
      <c r="A130" s="631"/>
      <c r="B130" s="631"/>
      <c r="C130" s="694" t="s">
        <v>782</v>
      </c>
      <c r="D130" s="631"/>
      <c r="E130" s="631"/>
      <c r="F130" s="631"/>
      <c r="G130" s="631"/>
      <c r="H130" s="631"/>
      <c r="I130" s="631"/>
      <c r="J130" s="631"/>
      <c r="K130" s="631"/>
      <c r="L130" s="631"/>
    </row>
    <row r="131" spans="1:12" ht="15">
      <c r="A131" s="631"/>
      <c r="B131" s="631"/>
      <c r="C131" s="694" t="s">
        <v>783</v>
      </c>
      <c r="D131" s="631"/>
      <c r="E131" s="631"/>
      <c r="F131" s="631"/>
      <c r="G131" s="631"/>
      <c r="H131" s="631"/>
      <c r="I131" s="631"/>
      <c r="J131" s="631"/>
      <c r="K131" s="631"/>
      <c r="L131" s="631"/>
    </row>
    <row r="132" spans="1:12" ht="15">
      <c r="A132" s="631"/>
      <c r="B132" s="631"/>
      <c r="C132" s="694" t="s">
        <v>784</v>
      </c>
      <c r="D132" s="631"/>
      <c r="E132" s="631"/>
      <c r="F132" s="631"/>
      <c r="G132" s="631"/>
      <c r="H132" s="631"/>
      <c r="I132" s="631"/>
      <c r="J132" s="631"/>
      <c r="K132" s="631"/>
      <c r="L132" s="631"/>
    </row>
    <row r="133" spans="1:12">
      <c r="A133" s="631"/>
      <c r="B133" s="631"/>
      <c r="C133" s="631"/>
      <c r="D133" s="631"/>
      <c r="E133" s="631"/>
      <c r="F133" s="631"/>
      <c r="G133" s="631"/>
      <c r="H133" s="631"/>
      <c r="I133" s="631"/>
      <c r="J133" s="631"/>
      <c r="K133" s="631"/>
      <c r="L133" s="631"/>
    </row>
    <row r="135" spans="1:12" ht="15.75">
      <c r="A135" s="1044" t="s">
        <v>785</v>
      </c>
      <c r="B135" s="1044"/>
      <c r="C135" s="1044"/>
      <c r="D135" s="1044"/>
      <c r="E135" s="1044"/>
      <c r="F135" s="1044"/>
      <c r="G135" s="1044"/>
      <c r="H135" s="1044"/>
      <c r="I135" s="1044"/>
    </row>
    <row r="136" spans="1:12">
      <c r="A136" s="631"/>
      <c r="B136" s="631"/>
      <c r="C136" s="631"/>
      <c r="D136" s="631"/>
      <c r="E136" s="631"/>
      <c r="F136" s="631"/>
      <c r="G136" s="631"/>
      <c r="H136" s="631"/>
      <c r="I136" s="631"/>
    </row>
    <row r="137" spans="1:12" ht="15.75">
      <c r="A137" s="1044" t="s">
        <v>786</v>
      </c>
      <c r="B137" s="1044"/>
      <c r="C137" s="1044"/>
      <c r="D137" s="1044"/>
      <c r="E137" s="1044"/>
      <c r="F137" s="1044"/>
      <c r="G137" s="1044"/>
      <c r="H137" s="1044"/>
      <c r="I137" s="1044"/>
    </row>
    <row r="138" spans="1:12">
      <c r="A138" s="631"/>
      <c r="B138" s="692"/>
      <c r="C138" s="692"/>
      <c r="D138" s="692"/>
      <c r="E138" s="692"/>
      <c r="F138" s="692"/>
      <c r="G138" s="692"/>
      <c r="H138" s="631"/>
      <c r="I138" s="631"/>
    </row>
    <row r="139" spans="1:12">
      <c r="A139" s="664"/>
      <c r="B139" s="732" t="s">
        <v>771</v>
      </c>
      <c r="C139" s="637" t="s">
        <v>787</v>
      </c>
      <c r="D139" s="637" t="s">
        <v>788</v>
      </c>
      <c r="E139" s="637" t="s">
        <v>789</v>
      </c>
      <c r="F139" s="637" t="s">
        <v>19</v>
      </c>
      <c r="G139" s="838" t="s">
        <v>790</v>
      </c>
      <c r="H139" s="631"/>
      <c r="I139" s="631"/>
    </row>
    <row r="140" spans="1:12">
      <c r="A140" s="664"/>
      <c r="B140" s="633">
        <v>1</v>
      </c>
      <c r="C140" s="835">
        <f>'E-Costos'!F186</f>
        <v>1308184021.9429204</v>
      </c>
      <c r="D140" s="835">
        <f>'E-Costos'!E186</f>
        <v>132722580.98652369</v>
      </c>
      <c r="E140" s="836">
        <f>E113</f>
        <v>36812134.600604668</v>
      </c>
      <c r="F140" s="835">
        <f>'E-Costos'!D186</f>
        <v>1630125000</v>
      </c>
      <c r="G140" s="837">
        <f>(E140+D140)/(F140-C140)</f>
        <v>0.52660185295538908</v>
      </c>
      <c r="H140" s="733"/>
      <c r="I140" s="631"/>
    </row>
    <row r="141" spans="1:12">
      <c r="A141" s="664"/>
      <c r="B141" s="633">
        <v>2</v>
      </c>
      <c r="C141" s="835">
        <f>'E-Costos'!$F$211</f>
        <v>3537809395.6225805</v>
      </c>
      <c r="D141" s="835">
        <f>'E-Costos'!$E$192</f>
        <v>152155371.9415237</v>
      </c>
      <c r="E141" s="836">
        <f>E114</f>
        <v>34400053.07560467</v>
      </c>
      <c r="F141" s="835">
        <f>'E-Costos'!$D$211</f>
        <v>2282175000</v>
      </c>
      <c r="G141" s="837">
        <f>(E141+D141)/(F141-C141)</f>
        <v>-0.14857463738449814</v>
      </c>
      <c r="H141" s="733"/>
      <c r="I141" s="631"/>
    </row>
    <row r="142" spans="1:12">
      <c r="A142" s="664"/>
      <c r="B142" s="633">
        <v>3</v>
      </c>
      <c r="C142" s="835">
        <f>'E-Costos'!$F$211</f>
        <v>3537809395.6225805</v>
      </c>
      <c r="D142" s="835">
        <f>'E-Costos'!$E$192</f>
        <v>152155371.9415237</v>
      </c>
      <c r="E142" s="836">
        <f>E115</f>
        <v>26717944.375604667</v>
      </c>
      <c r="F142" s="835">
        <f>'E-Costos'!$D$211</f>
        <v>2282175000</v>
      </c>
      <c r="G142" s="837">
        <f>(E142+D142)/(F142-C142)</f>
        <v>-0.1424565279039188</v>
      </c>
      <c r="H142" s="733"/>
      <c r="I142" s="631"/>
    </row>
    <row r="143" spans="1:12">
      <c r="A143" s="664"/>
      <c r="B143" s="633">
        <v>4</v>
      </c>
      <c r="C143" s="835">
        <f>'E-Costos'!$F$211</f>
        <v>3537809395.6225805</v>
      </c>
      <c r="D143" s="835">
        <f>'E-Costos'!$E$192</f>
        <v>152155371.9415237</v>
      </c>
      <c r="E143" s="836">
        <f>E116</f>
        <v>14223086.638937999</v>
      </c>
      <c r="F143" s="835">
        <f>'E-Costos'!$D$211</f>
        <v>2282175000</v>
      </c>
      <c r="G143" s="837">
        <f>(E143+D143)/(F143-C143)</f>
        <v>-0.13250549615436932</v>
      </c>
      <c r="H143" s="733"/>
      <c r="I143" s="631"/>
    </row>
    <row r="144" spans="1:12">
      <c r="A144" s="664"/>
      <c r="B144" s="633">
        <v>5</v>
      </c>
      <c r="C144" s="835">
        <f>'E-Costos'!$F$211</f>
        <v>3537809395.6225805</v>
      </c>
      <c r="D144" s="835">
        <f>'E-Costos'!$E$192</f>
        <v>152155371.9415237</v>
      </c>
      <c r="E144" s="836">
        <f>E117</f>
        <v>6540977.9389380002</v>
      </c>
      <c r="F144" s="835">
        <f>'E-Costos'!$D$211</f>
        <v>2282175000</v>
      </c>
      <c r="G144" s="837">
        <f>(E144+D144)/(F144-C144)</f>
        <v>-0.12638738667378999</v>
      </c>
      <c r="H144" s="733"/>
      <c r="I144" s="631"/>
    </row>
    <row r="145" spans="1:9">
      <c r="A145" s="631"/>
      <c r="B145" s="631"/>
      <c r="C145" s="733"/>
      <c r="D145" s="733"/>
      <c r="E145" s="733"/>
      <c r="F145" s="733"/>
      <c r="G145" s="733"/>
      <c r="H145" s="631"/>
      <c r="I145" s="631"/>
    </row>
    <row r="147" spans="1:9">
      <c r="B147" s="159"/>
      <c r="C147" s="159"/>
      <c r="D147" s="159"/>
      <c r="E147" s="159"/>
      <c r="F147" s="159"/>
      <c r="G147" s="159"/>
    </row>
    <row r="148" spans="1:9">
      <c r="A148" s="733"/>
      <c r="B148" s="733"/>
      <c r="C148" s="733"/>
      <c r="D148" s="733"/>
      <c r="E148" s="733"/>
      <c r="F148" s="733"/>
      <c r="G148" s="733"/>
      <c r="H148" s="733"/>
      <c r="I148" s="631"/>
    </row>
    <row r="149" spans="1:9" ht="15.75">
      <c r="A149" s="1044" t="s">
        <v>791</v>
      </c>
      <c r="B149" s="1045"/>
      <c r="C149" s="1045"/>
      <c r="D149" s="1045"/>
      <c r="E149" s="1045"/>
      <c r="F149" s="1045"/>
      <c r="G149" s="1045"/>
      <c r="H149" s="1044"/>
      <c r="I149" s="1044"/>
    </row>
    <row r="150" spans="1:9">
      <c r="A150" s="631"/>
      <c r="B150" s="631"/>
      <c r="C150" s="631"/>
      <c r="D150" s="631"/>
      <c r="E150" s="631"/>
      <c r="F150" s="631"/>
      <c r="G150" s="631"/>
      <c r="H150" s="631"/>
      <c r="I150" s="631"/>
    </row>
    <row r="151" spans="1:9" ht="15.75">
      <c r="A151" s="1044" t="s">
        <v>792</v>
      </c>
      <c r="B151" s="1044"/>
      <c r="C151" s="1044"/>
      <c r="D151" s="1044"/>
      <c r="E151" s="1044"/>
      <c r="F151" s="1044"/>
      <c r="G151" s="1044"/>
      <c r="H151" s="1044"/>
      <c r="I151" s="1044"/>
    </row>
    <row r="152" spans="1:9">
      <c r="A152" s="631"/>
      <c r="B152" s="631"/>
      <c r="C152" s="631"/>
      <c r="D152" s="631"/>
      <c r="E152" s="631"/>
      <c r="F152" s="631"/>
      <c r="G152" s="631"/>
      <c r="H152" s="631"/>
      <c r="I152" s="631"/>
    </row>
    <row r="153" spans="1:9" ht="15.75">
      <c r="A153" s="1044" t="s">
        <v>793</v>
      </c>
      <c r="B153" s="1044"/>
      <c r="C153" s="1044"/>
      <c r="D153" s="1044"/>
      <c r="E153" s="1044"/>
      <c r="F153" s="1044"/>
      <c r="G153" s="1044"/>
      <c r="H153" s="1044"/>
      <c r="I153" s="1044"/>
    </row>
  </sheetData>
  <mergeCells count="38">
    <mergeCell ref="L85:N85"/>
    <mergeCell ref="L86:N87"/>
    <mergeCell ref="I53:I54"/>
    <mergeCell ref="J53:J54"/>
    <mergeCell ref="A71:D71"/>
    <mergeCell ref="M55:O55"/>
    <mergeCell ref="M59:O60"/>
    <mergeCell ref="M58:O58"/>
    <mergeCell ref="M56:O57"/>
    <mergeCell ref="I75:J75"/>
    <mergeCell ref="A53:C53"/>
    <mergeCell ref="D53:D54"/>
    <mergeCell ref="E53:E54"/>
    <mergeCell ref="F53:F54"/>
    <mergeCell ref="G53:G54"/>
    <mergeCell ref="H53:H54"/>
    <mergeCell ref="A153:I153"/>
    <mergeCell ref="A106:I106"/>
    <mergeCell ref="A109:I109"/>
    <mergeCell ref="A120:I120"/>
    <mergeCell ref="A123:I123"/>
    <mergeCell ref="A135:I135"/>
    <mergeCell ref="C88:E88"/>
    <mergeCell ref="A101:D101"/>
    <mergeCell ref="A137:I137"/>
    <mergeCell ref="A149:I149"/>
    <mergeCell ref="A151:I151"/>
    <mergeCell ref="I45:J45"/>
    <mergeCell ref="A44:G44"/>
    <mergeCell ref="A75:G75"/>
    <mergeCell ref="A84:C84"/>
    <mergeCell ref="D84:D85"/>
    <mergeCell ref="E84:E85"/>
    <mergeCell ref="F84:F85"/>
    <mergeCell ref="G84:G85"/>
    <mergeCell ref="H84:H85"/>
    <mergeCell ref="I84:I85"/>
    <mergeCell ref="J84:J85"/>
  </mergeCells>
  <hyperlinks>
    <hyperlink ref="K75" r:id="rId1" xr:uid="{72BA10BB-66B1-486E-81C8-63946DD58D27}"/>
    <hyperlink ref="K45" r:id="rId2" xr:uid="{F1406FC7-D0D0-48CC-8FDC-6FFA979C3DB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A527-77B7-483D-A976-987D76ACF587}">
  <dimension ref="A1:O69"/>
  <sheetViews>
    <sheetView topLeftCell="A47" workbookViewId="0">
      <selection activeCell="I32" sqref="I32"/>
    </sheetView>
  </sheetViews>
  <sheetFormatPr baseColWidth="10" defaultColWidth="8.85546875" defaultRowHeight="12.75"/>
  <cols>
    <col min="2" max="2" width="22.42578125" customWidth="1"/>
    <col min="8" max="8" width="12.28515625" customWidth="1"/>
    <col min="10" max="10" width="11.5703125" customWidth="1"/>
  </cols>
  <sheetData>
    <row r="1" spans="1:15">
      <c r="A1" s="738"/>
      <c r="B1" s="738" t="s">
        <v>794</v>
      </c>
      <c r="C1" s="739"/>
      <c r="D1" s="739"/>
      <c r="E1" s="739"/>
      <c r="F1" s="739"/>
      <c r="G1" s="738"/>
      <c r="H1" s="738" t="s">
        <v>795</v>
      </c>
      <c r="I1" s="738"/>
      <c r="J1" s="738"/>
      <c r="K1" s="738"/>
      <c r="L1" s="738"/>
      <c r="M1" s="738"/>
      <c r="N1" s="738"/>
      <c r="O1" s="738"/>
    </row>
    <row r="2" spans="1:15">
      <c r="A2" s="1052"/>
      <c r="B2" s="1052"/>
      <c r="C2" s="1052"/>
      <c r="D2" s="1052"/>
      <c r="E2" s="1052"/>
      <c r="F2" s="1052"/>
      <c r="G2" s="738"/>
      <c r="H2" s="738"/>
      <c r="I2" s="738"/>
      <c r="J2" s="738"/>
      <c r="K2" s="738"/>
      <c r="L2" s="738"/>
      <c r="M2" s="738"/>
      <c r="N2" s="738"/>
      <c r="O2" s="738"/>
    </row>
    <row r="3" spans="1:15" ht="27" customHeight="1">
      <c r="A3" s="740" t="s">
        <v>796</v>
      </c>
      <c r="B3" s="741" t="s">
        <v>797</v>
      </c>
      <c r="C3" s="742">
        <v>2065.410711</v>
      </c>
      <c r="D3" s="743" t="s">
        <v>798</v>
      </c>
      <c r="E3" s="744"/>
      <c r="F3" s="739"/>
      <c r="G3" s="745" t="s">
        <v>799</v>
      </c>
      <c r="H3" s="745" t="s">
        <v>800</v>
      </c>
      <c r="I3" s="745" t="s">
        <v>801</v>
      </c>
      <c r="J3" s="745" t="s">
        <v>802</v>
      </c>
      <c r="K3" s="745" t="s">
        <v>803</v>
      </c>
      <c r="L3" s="745" t="s">
        <v>804</v>
      </c>
      <c r="M3" s="230" t="s">
        <v>805</v>
      </c>
      <c r="N3" s="738">
        <f>1890/11.5</f>
        <v>164.34782608695653</v>
      </c>
      <c r="O3" s="738"/>
    </row>
    <row r="4" spans="1:15" ht="25.5" customHeight="1">
      <c r="A4" s="746"/>
      <c r="B4" s="741" t="s">
        <v>806</v>
      </c>
      <c r="C4" s="747">
        <v>0.08</v>
      </c>
      <c r="D4" s="744"/>
      <c r="E4" s="744"/>
      <c r="F4" s="744"/>
      <c r="G4" s="745">
        <v>1</v>
      </c>
      <c r="H4" s="748">
        <v>0</v>
      </c>
      <c r="I4" s="749">
        <v>0.25</v>
      </c>
      <c r="J4" s="750">
        <f>AVERAGE(H4:I4)</f>
        <v>0.125</v>
      </c>
      <c r="K4" s="751">
        <f>$C$6/11.75</f>
        <v>160.85106382978722</v>
      </c>
      <c r="L4" s="751">
        <f>J4*K4</f>
        <v>20.106382978723403</v>
      </c>
      <c r="M4" s="738"/>
      <c r="N4" s="738"/>
      <c r="O4" s="738"/>
    </row>
    <row r="5" spans="1:15" ht="27" customHeight="1">
      <c r="A5" s="746"/>
      <c r="B5" s="741" t="s">
        <v>807</v>
      </c>
      <c r="C5" s="747">
        <v>0</v>
      </c>
      <c r="D5" s="744"/>
      <c r="E5" s="744"/>
      <c r="F5" s="744"/>
      <c r="G5" s="745">
        <v>2</v>
      </c>
      <c r="H5" s="749">
        <v>0.25</v>
      </c>
      <c r="I5" s="749">
        <v>0.55000000000000004</v>
      </c>
      <c r="J5" s="750">
        <f>AVERAGE(H5:I5)</f>
        <v>0.4</v>
      </c>
      <c r="K5" s="751">
        <f t="shared" ref="K5:K6" si="0">$C$6/11.75</f>
        <v>160.85106382978722</v>
      </c>
      <c r="L5" s="751">
        <f>J5*K5</f>
        <v>64.340425531914889</v>
      </c>
      <c r="M5" s="738"/>
      <c r="N5" s="738"/>
      <c r="O5" s="738"/>
    </row>
    <row r="6" spans="1:15" ht="19.5" customHeight="1">
      <c r="A6" s="746"/>
      <c r="B6" s="741" t="s">
        <v>808</v>
      </c>
      <c r="C6" s="752">
        <v>1890</v>
      </c>
      <c r="D6" s="743" t="s">
        <v>798</v>
      </c>
      <c r="E6" s="744"/>
      <c r="F6" s="744"/>
      <c r="G6" s="745">
        <v>3</v>
      </c>
      <c r="H6" s="749">
        <v>0.55000000000000004</v>
      </c>
      <c r="I6" s="749">
        <v>1</v>
      </c>
      <c r="J6" s="750">
        <f t="shared" ref="J6" si="1">AVERAGE(H6:I6)</f>
        <v>0.77500000000000002</v>
      </c>
      <c r="K6" s="751">
        <f t="shared" si="0"/>
        <v>160.85106382978722</v>
      </c>
      <c r="L6" s="751">
        <f>J6*K6</f>
        <v>124.6595744680851</v>
      </c>
      <c r="M6" s="738"/>
      <c r="N6" s="738"/>
      <c r="O6" s="738"/>
    </row>
    <row r="7" spans="1:15" ht="27" customHeight="1">
      <c r="A7" s="740" t="s">
        <v>809</v>
      </c>
      <c r="B7" s="741" t="s">
        <v>94</v>
      </c>
      <c r="C7" s="753">
        <v>3</v>
      </c>
      <c r="D7" s="743" t="s">
        <v>706</v>
      </c>
      <c r="E7" s="754">
        <f>11.5-C7</f>
        <v>8.5</v>
      </c>
      <c r="F7" s="744">
        <v>11.5</v>
      </c>
      <c r="G7" s="755"/>
      <c r="H7" s="756"/>
      <c r="I7" s="756"/>
      <c r="J7" s="756"/>
      <c r="K7" s="756"/>
      <c r="L7" s="757">
        <f>SUM(L4:L6)</f>
        <v>209.10638297872339</v>
      </c>
      <c r="M7" s="738"/>
      <c r="N7" s="738"/>
      <c r="O7" s="738"/>
    </row>
    <row r="8" spans="1:15">
      <c r="A8" s="1053" t="s">
        <v>810</v>
      </c>
      <c r="B8" s="1053"/>
      <c r="C8" s="1053"/>
      <c r="D8" s="1053"/>
      <c r="E8" s="1053"/>
      <c r="F8" s="1053"/>
      <c r="G8" s="738"/>
      <c r="H8" s="738"/>
      <c r="I8" s="738"/>
      <c r="J8" s="230" t="s">
        <v>811</v>
      </c>
      <c r="K8" s="738"/>
      <c r="L8" s="738">
        <f>8.75*K4</f>
        <v>1407.4468085106382</v>
      </c>
      <c r="M8" s="738"/>
      <c r="N8" s="738"/>
      <c r="O8" s="738"/>
    </row>
    <row r="9" spans="1:15">
      <c r="A9" s="746"/>
      <c r="B9" s="740" t="s">
        <v>812</v>
      </c>
      <c r="C9" s="747">
        <v>0.25</v>
      </c>
      <c r="D9" s="744"/>
      <c r="E9" s="744"/>
      <c r="F9" s="744"/>
      <c r="G9" s="1054" t="s">
        <v>813</v>
      </c>
      <c r="H9" s="230" t="s">
        <v>814</v>
      </c>
      <c r="I9" s="738"/>
      <c r="J9" s="758">
        <f>L7+L8</f>
        <v>1616.5531914893616</v>
      </c>
      <c r="K9" s="738"/>
      <c r="L9" s="738"/>
      <c r="M9" s="738"/>
      <c r="N9" s="738"/>
      <c r="O9" s="738"/>
    </row>
    <row r="10" spans="1:15">
      <c r="A10" s="746"/>
      <c r="B10" s="740" t="s">
        <v>815</v>
      </c>
      <c r="C10" s="747">
        <v>0.55000000000000004</v>
      </c>
      <c r="D10" s="744"/>
      <c r="E10" s="744"/>
      <c r="F10" s="744"/>
      <c r="G10" s="1054"/>
      <c r="H10" s="230" t="s">
        <v>816</v>
      </c>
      <c r="I10" s="738"/>
      <c r="J10" s="759">
        <f>C6</f>
        <v>1890</v>
      </c>
      <c r="K10" s="738"/>
      <c r="L10" s="738"/>
      <c r="M10" s="738"/>
      <c r="N10" s="738"/>
      <c r="O10" s="738"/>
    </row>
    <row r="11" spans="1:15">
      <c r="A11" s="746"/>
      <c r="B11" s="740" t="s">
        <v>817</v>
      </c>
      <c r="C11" s="747">
        <v>1</v>
      </c>
      <c r="D11" s="1055" t="s">
        <v>818</v>
      </c>
      <c r="E11" s="1055"/>
      <c r="F11" s="1055"/>
      <c r="G11" s="760" t="s">
        <v>819</v>
      </c>
      <c r="H11" s="230" t="s">
        <v>820</v>
      </c>
      <c r="I11" s="738"/>
      <c r="J11" s="738"/>
      <c r="K11" s="738"/>
      <c r="L11" s="738"/>
      <c r="M11" s="758">
        <f>L7-(1.2-1.1)</f>
        <v>209.00638297872339</v>
      </c>
      <c r="N11" s="738"/>
      <c r="O11" s="738"/>
    </row>
    <row r="12" spans="1:15">
      <c r="A12" s="740" t="s">
        <v>809</v>
      </c>
      <c r="B12" s="1056" t="s">
        <v>821</v>
      </c>
      <c r="C12" s="1056"/>
      <c r="D12" s="1056"/>
      <c r="E12" s="744"/>
      <c r="F12" s="744"/>
      <c r="G12" s="738"/>
      <c r="H12" s="230" t="s">
        <v>822</v>
      </c>
      <c r="I12" s="738">
        <v>51</v>
      </c>
      <c r="J12" s="738"/>
      <c r="K12" s="738"/>
      <c r="L12" s="738"/>
      <c r="M12" s="738"/>
      <c r="N12" s="738"/>
      <c r="O12" s="738"/>
    </row>
    <row r="13" spans="1:15">
      <c r="A13" s="740" t="s">
        <v>809</v>
      </c>
      <c r="B13" s="741" t="s">
        <v>823</v>
      </c>
      <c r="C13" s="739"/>
      <c r="D13" s="739"/>
      <c r="E13" s="738"/>
      <c r="F13" s="738"/>
      <c r="G13" s="738"/>
      <c r="H13" s="230" t="s">
        <v>824</v>
      </c>
      <c r="I13" s="738">
        <f>C6/I12</f>
        <v>37.058823529411768</v>
      </c>
      <c r="J13" s="738"/>
      <c r="K13" s="738"/>
      <c r="L13" s="738"/>
      <c r="M13" s="738"/>
      <c r="N13" s="738"/>
      <c r="O13" s="738"/>
    </row>
    <row r="14" spans="1:15">
      <c r="A14" s="746"/>
      <c r="B14" s="738"/>
      <c r="C14" s="739"/>
      <c r="D14" s="739"/>
      <c r="E14" s="738"/>
      <c r="F14" s="738"/>
      <c r="G14" s="738"/>
      <c r="H14" s="230" t="s">
        <v>825</v>
      </c>
      <c r="I14" s="738">
        <f>I13/2</f>
        <v>18.529411764705884</v>
      </c>
      <c r="J14" s="738" t="s">
        <v>383</v>
      </c>
      <c r="K14" s="738"/>
      <c r="L14" s="738"/>
      <c r="M14" s="738"/>
      <c r="N14" s="738"/>
      <c r="O14" s="738"/>
    </row>
    <row r="15" spans="1:15" ht="15">
      <c r="A15" s="746"/>
      <c r="B15" s="761"/>
      <c r="C15" s="762"/>
      <c r="D15" s="739"/>
      <c r="E15" s="738"/>
      <c r="F15" s="738"/>
      <c r="G15" s="760" t="s">
        <v>826</v>
      </c>
      <c r="H15" s="230" t="s">
        <v>827</v>
      </c>
      <c r="I15" s="738">
        <f>J9-I14</f>
        <v>1598.0237797246557</v>
      </c>
      <c r="J15" s="738"/>
      <c r="K15" s="738"/>
      <c r="L15" s="738"/>
      <c r="M15" s="738"/>
      <c r="N15" s="738"/>
      <c r="O15" s="738"/>
    </row>
    <row r="16" spans="1:15">
      <c r="A16" s="746"/>
      <c r="B16" s="738"/>
      <c r="C16" s="739"/>
      <c r="D16" s="739"/>
      <c r="E16" s="738"/>
      <c r="F16" s="738"/>
      <c r="G16" s="738"/>
      <c r="H16" s="230" t="s">
        <v>828</v>
      </c>
      <c r="I16" s="759">
        <f>C6</f>
        <v>1890</v>
      </c>
      <c r="J16" s="738"/>
      <c r="K16" s="738"/>
      <c r="L16" s="738"/>
      <c r="M16" s="738"/>
      <c r="N16" s="738"/>
      <c r="O16" s="738"/>
    </row>
    <row r="17" spans="1:15" ht="15">
      <c r="A17" s="746"/>
      <c r="B17" s="763" t="s">
        <v>829</v>
      </c>
      <c r="C17" s="764">
        <v>52</v>
      </c>
      <c r="D17" s="739"/>
      <c r="E17" s="738"/>
      <c r="F17" s="738"/>
      <c r="G17" s="760" t="s">
        <v>830</v>
      </c>
      <c r="H17" s="230" t="s">
        <v>831</v>
      </c>
      <c r="I17" s="738">
        <f>C21/5</f>
        <v>48.8</v>
      </c>
      <c r="J17" s="738"/>
      <c r="K17" s="738"/>
      <c r="L17" s="738"/>
      <c r="M17" s="738"/>
      <c r="N17" s="738"/>
      <c r="O17" s="738"/>
    </row>
    <row r="18" spans="1:15" ht="19.5" customHeight="1">
      <c r="A18" s="746"/>
      <c r="B18" s="765" t="s">
        <v>832</v>
      </c>
      <c r="C18" s="766">
        <v>5</v>
      </c>
      <c r="D18" s="739"/>
      <c r="E18" s="738"/>
      <c r="F18" s="738"/>
      <c r="G18" s="738"/>
      <c r="H18" s="738"/>
      <c r="I18" s="738"/>
      <c r="J18" s="738"/>
      <c r="K18" s="738"/>
      <c r="L18" s="738"/>
      <c r="M18" s="738"/>
      <c r="N18" s="738"/>
      <c r="O18" s="738"/>
    </row>
    <row r="19" spans="1:15" ht="30.75" customHeight="1">
      <c r="A19" s="746"/>
      <c r="B19" s="765" t="s">
        <v>833</v>
      </c>
      <c r="C19" s="766">
        <v>5</v>
      </c>
      <c r="D19" s="739"/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</row>
    <row r="20" spans="1:15" ht="26.25" customHeight="1">
      <c r="A20" s="746"/>
      <c r="B20" s="765" t="s">
        <v>834</v>
      </c>
      <c r="C20" s="766">
        <v>11</v>
      </c>
      <c r="D20" s="739"/>
      <c r="E20" s="738"/>
      <c r="F20" s="738"/>
      <c r="G20" s="738"/>
      <c r="H20" s="230" t="s">
        <v>835</v>
      </c>
      <c r="I20" s="738"/>
      <c r="J20" s="738">
        <f>J9</f>
        <v>1616.5531914893616</v>
      </c>
      <c r="K20" s="230" t="s">
        <v>836</v>
      </c>
      <c r="L20" s="738"/>
      <c r="M20" s="738"/>
      <c r="N20" s="738"/>
      <c r="O20" s="738"/>
    </row>
    <row r="21" spans="1:15" ht="15">
      <c r="A21" s="746"/>
      <c r="B21" s="765" t="s">
        <v>188</v>
      </c>
      <c r="C21" s="766">
        <f>C17*C18-C19-C20</f>
        <v>244</v>
      </c>
      <c r="D21" s="739"/>
      <c r="E21" s="738"/>
      <c r="F21" s="738"/>
      <c r="G21" s="738"/>
      <c r="H21" s="230"/>
      <c r="I21" s="738"/>
      <c r="J21" s="738"/>
      <c r="K21" s="738"/>
      <c r="L21" s="738"/>
      <c r="M21" s="738"/>
      <c r="N21" s="738"/>
      <c r="O21" s="738"/>
    </row>
    <row r="22" spans="1:15">
      <c r="A22" s="746"/>
      <c r="B22" s="746"/>
      <c r="C22" s="738"/>
      <c r="D22" s="738"/>
      <c r="E22" s="738"/>
      <c r="F22" s="738"/>
      <c r="G22" s="738"/>
      <c r="H22" s="230" t="s">
        <v>837</v>
      </c>
      <c r="I22" s="738"/>
      <c r="J22" s="738">
        <f>C3/C21*5</f>
        <v>42.323989979508198</v>
      </c>
      <c r="K22" s="230" t="s">
        <v>838</v>
      </c>
      <c r="L22" s="738"/>
      <c r="M22" s="738"/>
      <c r="N22" s="738"/>
      <c r="O22" s="738"/>
    </row>
    <row r="23" spans="1:15">
      <c r="A23" s="740"/>
      <c r="B23" s="741"/>
      <c r="C23" s="738"/>
      <c r="D23" s="738"/>
      <c r="E23" s="738"/>
      <c r="F23" s="738"/>
      <c r="G23" s="738"/>
      <c r="H23" s="738"/>
      <c r="I23" s="738"/>
      <c r="J23" s="738"/>
      <c r="K23" s="738"/>
      <c r="L23" s="738"/>
      <c r="M23" s="738"/>
      <c r="N23" s="738"/>
      <c r="O23" s="738"/>
    </row>
    <row r="24" spans="1:15" ht="41.25" customHeight="1">
      <c r="A24" s="740" t="s">
        <v>809</v>
      </c>
      <c r="B24" s="741" t="s">
        <v>34</v>
      </c>
      <c r="C24" s="747">
        <v>0.4</v>
      </c>
      <c r="D24" s="1055" t="s">
        <v>839</v>
      </c>
      <c r="E24" s="1055"/>
      <c r="F24" s="1055"/>
      <c r="G24" s="738"/>
      <c r="H24" s="230" t="s">
        <v>840</v>
      </c>
      <c r="I24" s="738"/>
      <c r="J24" s="738">
        <f>J22+J20</f>
        <v>1658.8771814688698</v>
      </c>
      <c r="K24" s="738"/>
      <c r="L24" s="738"/>
      <c r="M24" s="738"/>
      <c r="N24" s="738"/>
      <c r="O24" s="738"/>
    </row>
    <row r="25" spans="1:15" ht="38.25">
      <c r="A25" s="740" t="s">
        <v>809</v>
      </c>
      <c r="B25" s="1056" t="s">
        <v>841</v>
      </c>
      <c r="C25" s="1056"/>
      <c r="D25" s="739"/>
      <c r="E25" s="739"/>
      <c r="F25" s="739"/>
      <c r="G25" s="738"/>
      <c r="H25" s="230" t="s">
        <v>842</v>
      </c>
      <c r="I25" s="738"/>
      <c r="J25" s="759">
        <f>J10*1</f>
        <v>1890</v>
      </c>
      <c r="K25" s="738" t="s">
        <v>843</v>
      </c>
      <c r="L25" s="738"/>
      <c r="M25" s="738"/>
      <c r="N25" s="738"/>
      <c r="O25" s="738"/>
    </row>
    <row r="26" spans="1:15">
      <c r="A26" s="740" t="s">
        <v>809</v>
      </c>
      <c r="B26" s="1050" t="s">
        <v>844</v>
      </c>
      <c r="C26" s="1050"/>
      <c r="D26" s="1050"/>
      <c r="E26" s="1050"/>
      <c r="F26" s="1050"/>
      <c r="G26" s="760" t="s">
        <v>845</v>
      </c>
      <c r="H26" s="230" t="s">
        <v>846</v>
      </c>
      <c r="I26" s="738"/>
      <c r="J26" s="738"/>
      <c r="K26" s="738"/>
      <c r="L26" s="738"/>
      <c r="M26" s="738"/>
      <c r="N26" s="738"/>
      <c r="O26" s="738"/>
    </row>
    <row r="27" spans="1:15" ht="25.5" customHeight="1">
      <c r="A27" s="738"/>
      <c r="B27" s="738"/>
      <c r="C27" s="739"/>
      <c r="D27" s="739"/>
      <c r="E27" s="739"/>
      <c r="F27" s="739"/>
      <c r="G27" s="738"/>
      <c r="H27" s="230" t="s">
        <v>847</v>
      </c>
      <c r="I27" s="738"/>
      <c r="J27" s="738"/>
      <c r="K27" s="767">
        <f>J10/11.75</f>
        <v>160.85106382978722</v>
      </c>
      <c r="L27" s="738" t="s">
        <v>848</v>
      </c>
      <c r="M27" s="738"/>
      <c r="N27" s="738"/>
      <c r="O27" s="738"/>
    </row>
    <row r="28" spans="1:15">
      <c r="A28" s="1051"/>
      <c r="B28" s="768"/>
      <c r="C28" s="769" t="s">
        <v>849</v>
      </c>
      <c r="D28" s="769" t="s">
        <v>14</v>
      </c>
      <c r="E28" s="769" t="s">
        <v>2</v>
      </c>
      <c r="F28" s="770" t="s">
        <v>850</v>
      </c>
      <c r="G28" s="738"/>
      <c r="H28" s="230" t="s">
        <v>851</v>
      </c>
      <c r="I28" s="738"/>
      <c r="J28" s="738"/>
      <c r="K28" s="738"/>
      <c r="L28" s="738"/>
      <c r="M28" s="738"/>
      <c r="N28" s="738"/>
      <c r="O28" s="738"/>
    </row>
    <row r="29" spans="1:15">
      <c r="A29" s="1051"/>
      <c r="B29" s="771" t="s">
        <v>19</v>
      </c>
      <c r="C29" s="769" t="s">
        <v>852</v>
      </c>
      <c r="D29" s="772"/>
      <c r="E29" s="773">
        <f>I15</f>
        <v>1598.0237797246557</v>
      </c>
      <c r="F29" s="774">
        <f>I16</f>
        <v>1890</v>
      </c>
      <c r="G29" s="738"/>
      <c r="H29" s="230" t="s">
        <v>853</v>
      </c>
      <c r="I29" s="738"/>
      <c r="J29" s="738"/>
      <c r="K29" s="738"/>
      <c r="L29" s="738"/>
      <c r="M29" s="738"/>
      <c r="N29" s="738"/>
      <c r="O29" s="738"/>
    </row>
    <row r="30" spans="1:15" ht="35.25" customHeight="1">
      <c r="A30" s="1051"/>
      <c r="B30" s="771" t="s">
        <v>23</v>
      </c>
      <c r="C30" s="769" t="s">
        <v>852</v>
      </c>
      <c r="D30" s="772"/>
      <c r="E30" s="775">
        <f>I13</f>
        <v>37.058823529411768</v>
      </c>
      <c r="F30" s="745">
        <f>E30</f>
        <v>37.058823529411768</v>
      </c>
      <c r="G30" s="738"/>
      <c r="H30" s="776" t="s">
        <v>50</v>
      </c>
      <c r="I30" s="776" t="s">
        <v>854</v>
      </c>
      <c r="J30" s="777" t="s">
        <v>855</v>
      </c>
      <c r="K30" s="738"/>
      <c r="L30" s="738"/>
      <c r="M30" s="738"/>
      <c r="N30" s="738"/>
      <c r="O30" s="738"/>
    </row>
    <row r="31" spans="1:15">
      <c r="A31" s="1051"/>
      <c r="B31" s="771" t="s">
        <v>25</v>
      </c>
      <c r="C31" s="769" t="s">
        <v>852</v>
      </c>
      <c r="D31" s="772"/>
      <c r="E31" s="773">
        <f>J9</f>
        <v>1616.5531914893616</v>
      </c>
      <c r="F31" s="778">
        <f>F29</f>
        <v>1890</v>
      </c>
      <c r="G31" s="738"/>
      <c r="H31" s="776" t="s">
        <v>856</v>
      </c>
      <c r="I31" s="779">
        <f>K27</f>
        <v>160.85106382978722</v>
      </c>
      <c r="J31" s="779">
        <f>I31</f>
        <v>160.85106382978722</v>
      </c>
      <c r="K31" s="738">
        <f>(I31*1000)/20</f>
        <v>8042.5531914893609</v>
      </c>
      <c r="L31" s="738" t="s">
        <v>857</v>
      </c>
      <c r="M31" s="738"/>
      <c r="N31" s="738"/>
      <c r="O31" s="738"/>
    </row>
    <row r="32" spans="1:15" ht="19.5" customHeight="1">
      <c r="A32" s="1051"/>
      <c r="B32" s="780" t="s">
        <v>28</v>
      </c>
      <c r="C32" s="769" t="s">
        <v>852</v>
      </c>
      <c r="D32" s="772"/>
      <c r="E32" s="773">
        <v>0</v>
      </c>
      <c r="F32" s="781">
        <v>0</v>
      </c>
      <c r="G32" s="738"/>
      <c r="H32" s="776" t="s">
        <v>858</v>
      </c>
      <c r="I32" s="779">
        <f>(I31+J31)-(161*2/3)</f>
        <v>214.36879432624113</v>
      </c>
      <c r="J32" s="777">
        <v>107</v>
      </c>
      <c r="K32" s="738"/>
      <c r="L32" s="738"/>
      <c r="M32" s="738"/>
      <c r="N32" s="738"/>
      <c r="O32" s="738"/>
    </row>
    <row r="33" spans="1:15" ht="23.25" customHeight="1">
      <c r="A33" s="1051"/>
      <c r="B33" s="780" t="s">
        <v>30</v>
      </c>
      <c r="C33" s="769" t="s">
        <v>852</v>
      </c>
      <c r="D33" s="772"/>
      <c r="E33" s="773">
        <f>J22</f>
        <v>42.323989979508198</v>
      </c>
      <c r="F33" s="782">
        <f>J22</f>
        <v>42.323989979508198</v>
      </c>
      <c r="G33" s="738"/>
      <c r="H33" s="776" t="s">
        <v>859</v>
      </c>
      <c r="I33" s="779">
        <f>I32+J32-I31</f>
        <v>160.51773049645391</v>
      </c>
      <c r="J33" s="777">
        <v>161</v>
      </c>
      <c r="K33" s="738"/>
      <c r="L33" s="738"/>
      <c r="M33" s="738"/>
      <c r="N33" s="738"/>
      <c r="O33" s="738"/>
    </row>
    <row r="34" spans="1:15" ht="30" customHeight="1">
      <c r="A34" s="1051"/>
      <c r="B34" s="780" t="s">
        <v>33</v>
      </c>
      <c r="C34" s="769" t="s">
        <v>852</v>
      </c>
      <c r="D34" s="772"/>
      <c r="E34" s="783">
        <f>SUM(E31:E33)</f>
        <v>1658.8771814688698</v>
      </c>
      <c r="F34" s="784">
        <f>F31+F32</f>
        <v>1890</v>
      </c>
      <c r="G34" s="738"/>
      <c r="H34" s="776" t="s">
        <v>860</v>
      </c>
      <c r="I34" s="779">
        <v>161</v>
      </c>
      <c r="J34" s="777">
        <v>161</v>
      </c>
      <c r="K34" s="738"/>
      <c r="L34" s="738"/>
      <c r="M34" s="738"/>
      <c r="N34" s="738"/>
      <c r="O34" s="738"/>
    </row>
    <row r="35" spans="1:15" ht="24.75" customHeight="1">
      <c r="A35" s="1051"/>
      <c r="B35" s="780" t="s">
        <v>34</v>
      </c>
      <c r="C35" s="769" t="s">
        <v>852</v>
      </c>
      <c r="D35" s="772"/>
      <c r="E35" s="783">
        <f>I44</f>
        <v>165.39479905437352</v>
      </c>
      <c r="F35" s="783">
        <f>I44</f>
        <v>165.39479905437352</v>
      </c>
      <c r="G35" s="738"/>
      <c r="H35" s="776" t="s">
        <v>861</v>
      </c>
      <c r="I35" s="779">
        <v>161</v>
      </c>
      <c r="J35" s="777">
        <v>161</v>
      </c>
      <c r="K35" s="738"/>
      <c r="L35" s="738"/>
      <c r="M35" s="738"/>
      <c r="N35" s="738"/>
      <c r="O35" s="738"/>
    </row>
    <row r="36" spans="1:15" ht="20.25" customHeight="1">
      <c r="A36" s="1051"/>
      <c r="B36" s="780" t="s">
        <v>36</v>
      </c>
      <c r="C36" s="769" t="s">
        <v>852</v>
      </c>
      <c r="D36" s="772">
        <f>J20</f>
        <v>1616.5531914893616</v>
      </c>
      <c r="E36" s="783">
        <f>E34+E35-D36</f>
        <v>207.71878903388188</v>
      </c>
      <c r="F36" s="783">
        <f>F34-E36</f>
        <v>1682.2812109661181</v>
      </c>
      <c r="G36" s="738"/>
      <c r="H36" s="776" t="s">
        <v>862</v>
      </c>
      <c r="I36" s="779">
        <v>161</v>
      </c>
      <c r="J36" s="777">
        <v>161</v>
      </c>
      <c r="K36" s="738"/>
      <c r="L36" s="738"/>
      <c r="M36" s="738"/>
      <c r="N36" s="738"/>
      <c r="O36" s="738"/>
    </row>
    <row r="37" spans="1:15">
      <c r="A37" s="738"/>
      <c r="B37" s="738"/>
      <c r="C37" s="738"/>
      <c r="D37" s="738"/>
      <c r="E37" s="738"/>
      <c r="F37" s="738"/>
      <c r="G37" s="738"/>
      <c r="H37" s="776" t="s">
        <v>863</v>
      </c>
      <c r="I37" s="779">
        <v>161</v>
      </c>
      <c r="J37" s="777">
        <v>161</v>
      </c>
      <c r="K37" s="738"/>
      <c r="L37" s="738"/>
      <c r="M37" s="738"/>
      <c r="N37" s="738"/>
      <c r="O37" s="738"/>
    </row>
    <row r="38" spans="1:15">
      <c r="A38" s="738"/>
      <c r="B38" s="738"/>
      <c r="C38" s="738"/>
      <c r="D38" s="738"/>
      <c r="E38" s="738"/>
      <c r="F38" s="738"/>
      <c r="G38" s="738"/>
      <c r="H38" s="776" t="s">
        <v>864</v>
      </c>
      <c r="I38" s="779">
        <v>161</v>
      </c>
      <c r="J38" s="777">
        <v>161</v>
      </c>
      <c r="K38" s="738"/>
      <c r="L38" s="738"/>
      <c r="M38" s="738"/>
      <c r="N38" s="738"/>
      <c r="O38" s="738"/>
    </row>
    <row r="39" spans="1:15">
      <c r="A39" s="738"/>
      <c r="B39" s="738"/>
      <c r="C39" s="738"/>
      <c r="D39" s="738"/>
      <c r="E39" s="738"/>
      <c r="F39" s="738"/>
      <c r="G39" s="738"/>
      <c r="H39" s="776" t="s">
        <v>865</v>
      </c>
      <c r="I39" s="779">
        <v>161</v>
      </c>
      <c r="J39" s="777">
        <v>161</v>
      </c>
      <c r="K39" s="738"/>
      <c r="L39" s="738"/>
      <c r="M39" s="738"/>
      <c r="N39" s="738"/>
      <c r="O39" s="738"/>
    </row>
    <row r="40" spans="1:15">
      <c r="A40" s="738"/>
      <c r="B40" s="738"/>
      <c r="C40" s="738"/>
      <c r="D40" s="738"/>
      <c r="E40" s="738"/>
      <c r="F40" s="738"/>
      <c r="G40" s="738"/>
      <c r="H40" s="776" t="s">
        <v>866</v>
      </c>
      <c r="I40" s="779">
        <v>161</v>
      </c>
      <c r="J40" s="777">
        <v>161</v>
      </c>
      <c r="K40" s="738"/>
      <c r="L40" s="738"/>
      <c r="M40" s="738"/>
      <c r="N40" s="738"/>
      <c r="O40" s="738"/>
    </row>
    <row r="41" spans="1:15">
      <c r="A41" s="738"/>
      <c r="B41" s="738"/>
      <c r="C41" s="739"/>
      <c r="D41" s="739"/>
      <c r="E41" s="739"/>
      <c r="F41" s="739"/>
      <c r="G41" s="738"/>
      <c r="H41" s="776" t="s">
        <v>867</v>
      </c>
      <c r="I41" s="779">
        <v>161</v>
      </c>
      <c r="J41" s="777">
        <v>161</v>
      </c>
      <c r="K41" s="738"/>
      <c r="L41" s="738"/>
      <c r="M41" s="738"/>
      <c r="N41" s="738"/>
      <c r="O41" s="738"/>
    </row>
    <row r="42" spans="1:15">
      <c r="A42" s="738"/>
      <c r="B42" s="738"/>
      <c r="C42" s="739"/>
      <c r="D42" s="739"/>
      <c r="E42" s="739"/>
      <c r="F42" s="739"/>
      <c r="G42" s="738"/>
      <c r="H42" s="776" t="s">
        <v>868</v>
      </c>
      <c r="I42" s="779">
        <v>161</v>
      </c>
      <c r="J42" s="777">
        <v>161</v>
      </c>
      <c r="K42" s="738"/>
      <c r="L42" s="738"/>
      <c r="M42" s="738"/>
      <c r="N42" s="738"/>
      <c r="O42" s="738"/>
    </row>
    <row r="43" spans="1:15">
      <c r="A43" s="738"/>
      <c r="B43" s="738"/>
      <c r="C43" s="739"/>
      <c r="D43" s="739"/>
      <c r="E43" s="739"/>
      <c r="F43" s="739"/>
      <c r="G43" s="738"/>
      <c r="H43" s="738"/>
      <c r="I43" s="738"/>
      <c r="J43" s="738"/>
      <c r="K43" s="738"/>
      <c r="L43" s="738"/>
      <c r="M43" s="738"/>
      <c r="N43" s="738"/>
      <c r="O43" s="738"/>
    </row>
    <row r="44" spans="1:15">
      <c r="A44" s="738"/>
      <c r="B44" s="738"/>
      <c r="C44" s="739"/>
      <c r="D44" s="739"/>
      <c r="E44" s="739"/>
      <c r="F44" s="739"/>
      <c r="G44" s="738" t="s">
        <v>869</v>
      </c>
      <c r="H44" s="230" t="s">
        <v>820</v>
      </c>
      <c r="I44" s="767">
        <f>SUM(I31:I42)/12</f>
        <v>165.39479905437352</v>
      </c>
      <c r="J44" s="738" t="s">
        <v>870</v>
      </c>
      <c r="K44" s="785">
        <f>I44/K27</f>
        <v>1.0282480893592005</v>
      </c>
      <c r="L44" s="230" t="s">
        <v>871</v>
      </c>
      <c r="M44" s="738"/>
      <c r="N44" s="738"/>
      <c r="O44" s="738"/>
    </row>
    <row r="45" spans="1:15">
      <c r="A45" s="738"/>
      <c r="B45" s="738"/>
      <c r="C45" s="739"/>
      <c r="D45" s="739"/>
      <c r="E45" s="739"/>
      <c r="F45" s="739"/>
      <c r="G45" s="738"/>
      <c r="H45" s="738"/>
      <c r="I45" s="738"/>
      <c r="J45" s="738"/>
      <c r="K45" s="738"/>
      <c r="L45" s="738"/>
      <c r="M45" s="738"/>
      <c r="N45" s="738"/>
      <c r="O45" s="738"/>
    </row>
    <row r="46" spans="1:15">
      <c r="A46" s="738"/>
      <c r="B46" s="738"/>
      <c r="C46" s="739"/>
      <c r="D46" s="739"/>
      <c r="E46" s="739"/>
      <c r="F46" s="739"/>
      <c r="G46" s="738"/>
      <c r="H46" s="738"/>
      <c r="I46" s="738"/>
      <c r="J46" s="738"/>
      <c r="K46" s="738"/>
      <c r="L46" s="738"/>
      <c r="M46" s="738"/>
      <c r="N46" s="738"/>
      <c r="O46" s="738"/>
    </row>
    <row r="47" spans="1:15">
      <c r="A47" s="738"/>
      <c r="B47" s="738"/>
      <c r="C47" s="739"/>
      <c r="D47" s="739"/>
      <c r="E47" s="739"/>
      <c r="F47" s="739"/>
      <c r="G47" s="738"/>
      <c r="H47" s="738"/>
      <c r="I47" s="738"/>
      <c r="J47" s="738"/>
      <c r="K47" s="738"/>
      <c r="L47" s="738"/>
      <c r="M47" s="738"/>
      <c r="N47" s="738"/>
      <c r="O47" s="738"/>
    </row>
    <row r="48" spans="1:15">
      <c r="A48" s="738"/>
      <c r="B48" s="738"/>
      <c r="C48" s="739"/>
      <c r="D48" s="739"/>
      <c r="E48" s="739"/>
      <c r="F48" s="739"/>
      <c r="G48" s="738"/>
      <c r="H48" s="738"/>
      <c r="I48" s="738"/>
      <c r="J48" s="738"/>
      <c r="K48" s="738"/>
      <c r="L48" s="738"/>
      <c r="M48" s="738"/>
      <c r="N48" s="738"/>
      <c r="O48" s="738"/>
    </row>
    <row r="49" spans="1:15">
      <c r="A49" s="738"/>
      <c r="B49" s="738"/>
      <c r="C49" s="739"/>
      <c r="D49" s="739"/>
      <c r="E49" s="739"/>
      <c r="F49" s="739"/>
      <c r="G49" s="738"/>
      <c r="H49" s="738"/>
      <c r="I49" s="738"/>
      <c r="J49" s="738"/>
      <c r="K49" s="738"/>
      <c r="L49" s="738"/>
      <c r="M49" s="738"/>
      <c r="N49" s="738"/>
      <c r="O49" s="738"/>
    </row>
    <row r="50" spans="1:15">
      <c r="A50" s="738"/>
      <c r="B50" s="738"/>
      <c r="C50" s="739"/>
      <c r="D50" s="739"/>
      <c r="E50" s="739"/>
      <c r="F50" s="739"/>
      <c r="G50" s="738"/>
      <c r="H50" s="738"/>
      <c r="I50" s="738"/>
      <c r="J50" s="738"/>
      <c r="K50" s="738"/>
      <c r="L50" s="738"/>
      <c r="M50" s="738"/>
      <c r="N50" s="738"/>
      <c r="O50" s="738"/>
    </row>
    <row r="51" spans="1:15">
      <c r="A51" s="738"/>
      <c r="B51" s="738"/>
      <c r="C51" s="739"/>
      <c r="D51" s="739"/>
      <c r="E51" s="739"/>
      <c r="F51" s="739"/>
      <c r="G51" s="738"/>
      <c r="H51" s="738"/>
      <c r="I51" s="738"/>
      <c r="J51" s="738"/>
      <c r="K51" s="738"/>
      <c r="L51" s="738"/>
      <c r="M51" s="738"/>
      <c r="N51" s="738"/>
      <c r="O51" s="738"/>
    </row>
    <row r="52" spans="1:15">
      <c r="A52" s="738"/>
      <c r="B52" s="738"/>
      <c r="C52" s="739"/>
      <c r="D52" s="739"/>
      <c r="E52" s="739"/>
      <c r="F52" s="739"/>
      <c r="G52" s="738"/>
      <c r="H52" s="738"/>
      <c r="I52" s="738"/>
      <c r="J52" s="738"/>
      <c r="K52" s="738"/>
      <c r="L52" s="738"/>
      <c r="M52" s="738"/>
      <c r="N52" s="738"/>
      <c r="O52" s="738"/>
    </row>
    <row r="53" spans="1:15">
      <c r="A53" s="738"/>
      <c r="B53" s="738"/>
      <c r="C53" s="739"/>
      <c r="D53" s="739"/>
      <c r="E53" s="739"/>
      <c r="F53" s="739"/>
      <c r="G53" s="738"/>
      <c r="H53" s="738"/>
      <c r="I53" s="738"/>
      <c r="J53" s="738"/>
      <c r="K53" s="738"/>
      <c r="L53" s="738"/>
      <c r="M53" s="738"/>
      <c r="N53" s="738"/>
      <c r="O53" s="738"/>
    </row>
    <row r="54" spans="1:15">
      <c r="A54" s="738"/>
      <c r="B54" s="738"/>
      <c r="C54" s="739"/>
      <c r="D54" s="739"/>
      <c r="E54" s="739"/>
      <c r="F54" s="739"/>
      <c r="G54" s="738"/>
      <c r="H54" s="738"/>
      <c r="I54" s="738"/>
      <c r="J54" s="738"/>
      <c r="K54" s="738"/>
      <c r="L54" s="738"/>
      <c r="M54" s="738"/>
      <c r="N54" s="738"/>
      <c r="O54" s="738"/>
    </row>
    <row r="55" spans="1:15">
      <c r="A55" s="738"/>
      <c r="B55" s="738"/>
      <c r="C55" s="739"/>
      <c r="D55" s="739"/>
      <c r="E55" s="739"/>
      <c r="F55" s="739"/>
      <c r="G55" s="738"/>
      <c r="H55" s="738"/>
      <c r="I55" s="738"/>
      <c r="J55" s="738"/>
      <c r="K55" s="738"/>
      <c r="L55" s="738"/>
      <c r="M55" s="738"/>
      <c r="N55" s="738"/>
      <c r="O55" s="738"/>
    </row>
    <row r="56" spans="1:15">
      <c r="A56" s="738"/>
      <c r="B56" s="738"/>
      <c r="C56" s="739"/>
      <c r="D56" s="739"/>
      <c r="E56" s="739"/>
      <c r="F56" s="739"/>
      <c r="G56" s="738"/>
      <c r="H56" s="738"/>
      <c r="I56" s="738"/>
      <c r="J56" s="738"/>
      <c r="K56" s="738"/>
      <c r="L56" s="738"/>
      <c r="M56" s="738"/>
      <c r="N56" s="738"/>
      <c r="O56" s="738"/>
    </row>
    <row r="57" spans="1:15">
      <c r="A57" s="738"/>
      <c r="B57" s="738"/>
      <c r="C57" s="739"/>
      <c r="D57" s="739"/>
      <c r="E57" s="739"/>
      <c r="F57" s="739"/>
      <c r="G57" s="738"/>
      <c r="H57" s="738"/>
      <c r="I57" s="738"/>
      <c r="J57" s="738"/>
      <c r="K57" s="738"/>
      <c r="L57" s="738"/>
      <c r="M57" s="738"/>
      <c r="N57" s="738"/>
      <c r="O57" s="738"/>
    </row>
    <row r="58" spans="1:15">
      <c r="A58" s="738"/>
      <c r="B58" s="738"/>
      <c r="C58" s="739"/>
      <c r="D58" s="739"/>
      <c r="E58" s="739"/>
      <c r="F58" s="739"/>
      <c r="G58" s="738"/>
      <c r="H58" s="738"/>
      <c r="I58" s="738"/>
      <c r="J58" s="738"/>
      <c r="K58" s="738"/>
      <c r="L58" s="738"/>
      <c r="M58" s="738"/>
      <c r="N58" s="738"/>
      <c r="O58" s="738"/>
    </row>
    <row r="59" spans="1:15">
      <c r="A59" s="738"/>
      <c r="B59" s="738"/>
      <c r="C59" s="739"/>
      <c r="D59" s="739"/>
      <c r="E59" s="739"/>
      <c r="F59" s="739"/>
      <c r="G59" s="738"/>
      <c r="H59" s="738"/>
      <c r="I59" s="738"/>
      <c r="J59" s="738"/>
      <c r="K59" s="738"/>
      <c r="L59" s="738"/>
      <c r="M59" s="738"/>
      <c r="N59" s="738"/>
      <c r="O59" s="738"/>
    </row>
    <row r="60" spans="1:15">
      <c r="A60" s="738"/>
      <c r="B60" s="738"/>
      <c r="C60" s="739"/>
      <c r="D60" s="739"/>
      <c r="E60" s="739"/>
      <c r="F60" s="739"/>
      <c r="G60" s="738"/>
      <c r="H60" s="738"/>
      <c r="I60" s="738"/>
      <c r="J60" s="738"/>
      <c r="K60" s="738"/>
      <c r="L60" s="738"/>
      <c r="M60" s="738"/>
      <c r="N60" s="738"/>
      <c r="O60" s="738"/>
    </row>
    <row r="61" spans="1:15">
      <c r="A61" s="738"/>
      <c r="B61" s="738"/>
      <c r="C61" s="739"/>
      <c r="D61" s="739"/>
      <c r="E61" s="739"/>
      <c r="F61" s="739"/>
      <c r="G61" s="738"/>
      <c r="H61" s="738"/>
      <c r="I61" s="738"/>
      <c r="J61" s="738"/>
      <c r="K61" s="738"/>
      <c r="L61" s="738"/>
      <c r="M61" s="738"/>
      <c r="N61" s="738"/>
      <c r="O61" s="738"/>
    </row>
    <row r="62" spans="1:15">
      <c r="A62" s="738"/>
      <c r="B62" s="738"/>
      <c r="C62" s="739"/>
      <c r="D62" s="739"/>
      <c r="E62" s="739"/>
      <c r="F62" s="739"/>
      <c r="G62" s="738"/>
      <c r="H62" s="738"/>
      <c r="I62" s="738"/>
      <c r="J62" s="738"/>
      <c r="K62" s="738"/>
      <c r="L62" s="738"/>
      <c r="M62" s="738"/>
      <c r="N62" s="738"/>
      <c r="O62" s="738"/>
    </row>
    <row r="63" spans="1:15">
      <c r="A63" s="738"/>
      <c r="B63" s="738"/>
      <c r="C63" s="739"/>
      <c r="D63" s="739"/>
      <c r="E63" s="739"/>
      <c r="F63" s="739"/>
      <c r="G63" s="738"/>
      <c r="H63" s="738"/>
      <c r="I63" s="738"/>
      <c r="J63" s="738"/>
      <c r="K63" s="738"/>
      <c r="L63" s="738"/>
      <c r="M63" s="738"/>
      <c r="N63" s="738"/>
      <c r="O63" s="738"/>
    </row>
    <row r="64" spans="1:15">
      <c r="A64" s="738"/>
      <c r="B64" s="738"/>
      <c r="C64" s="739"/>
      <c r="D64" s="739"/>
      <c r="E64" s="739"/>
      <c r="F64" s="739"/>
      <c r="G64" s="738"/>
      <c r="H64" s="738"/>
      <c r="I64" s="738"/>
      <c r="J64" s="738"/>
      <c r="K64" s="738"/>
      <c r="L64" s="738"/>
      <c r="M64" s="738"/>
      <c r="N64" s="738"/>
      <c r="O64" s="738"/>
    </row>
    <row r="65" spans="1:15">
      <c r="A65" s="738"/>
      <c r="B65" s="738"/>
      <c r="C65" s="739"/>
      <c r="D65" s="739"/>
      <c r="E65" s="739"/>
      <c r="F65" s="739"/>
      <c r="G65" s="738"/>
      <c r="H65" s="738"/>
      <c r="I65" s="738"/>
      <c r="J65" s="738"/>
      <c r="K65" s="738"/>
      <c r="L65" s="738"/>
      <c r="M65" s="738"/>
      <c r="N65" s="738"/>
      <c r="O65" s="738"/>
    </row>
    <row r="66" spans="1:15">
      <c r="A66" s="738"/>
      <c r="B66" s="738"/>
      <c r="C66" s="739"/>
      <c r="D66" s="739"/>
      <c r="E66" s="739"/>
      <c r="F66" s="739"/>
      <c r="G66" s="738"/>
      <c r="H66" s="738"/>
      <c r="I66" s="738"/>
      <c r="J66" s="738"/>
      <c r="K66" s="738"/>
      <c r="L66" s="738"/>
      <c r="M66" s="738"/>
      <c r="N66" s="738"/>
      <c r="O66" s="738"/>
    </row>
    <row r="67" spans="1:15">
      <c r="A67" s="738"/>
      <c r="B67" s="738"/>
      <c r="C67" s="739"/>
      <c r="D67" s="739"/>
      <c r="E67" s="739"/>
      <c r="F67" s="739"/>
      <c r="G67" s="738"/>
      <c r="H67" s="738"/>
      <c r="I67" s="738"/>
      <c r="J67" s="738"/>
      <c r="K67" s="738"/>
      <c r="L67" s="738"/>
      <c r="M67" s="738"/>
      <c r="N67" s="738"/>
      <c r="O67" s="738"/>
    </row>
    <row r="68" spans="1:15">
      <c r="A68" s="738"/>
      <c r="B68" s="738"/>
      <c r="C68" s="739"/>
      <c r="D68" s="739"/>
      <c r="E68" s="739"/>
      <c r="F68" s="739"/>
      <c r="G68" s="738"/>
      <c r="H68" s="738"/>
      <c r="I68" s="738"/>
      <c r="J68" s="738"/>
      <c r="K68" s="738"/>
      <c r="L68" s="738"/>
      <c r="M68" s="738"/>
      <c r="N68" s="738"/>
      <c r="O68" s="738"/>
    </row>
    <row r="69" spans="1:15">
      <c r="A69" s="738"/>
      <c r="B69" s="738"/>
      <c r="C69" s="739"/>
      <c r="D69" s="739"/>
      <c r="E69" s="739"/>
      <c r="F69" s="739"/>
      <c r="G69" s="738"/>
      <c r="H69" s="738"/>
      <c r="I69" s="738"/>
      <c r="J69" s="738"/>
      <c r="K69" s="738"/>
      <c r="L69" s="738"/>
      <c r="M69" s="738"/>
      <c r="N69" s="738"/>
      <c r="O69" s="738"/>
    </row>
  </sheetData>
  <mergeCells count="9">
    <mergeCell ref="B26:F26"/>
    <mergeCell ref="A28:A36"/>
    <mergeCell ref="A2:F2"/>
    <mergeCell ref="A8:F8"/>
    <mergeCell ref="G9:G10"/>
    <mergeCell ref="D11:F11"/>
    <mergeCell ref="B12:D12"/>
    <mergeCell ref="D24:F24"/>
    <mergeCell ref="B25:C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B1-CC9E-4AFD-B617-4071240F97B1}">
  <sheetPr>
    <tabColor rgb="FFFFFF00"/>
  </sheetPr>
  <dimension ref="A1:Q44"/>
  <sheetViews>
    <sheetView showGridLines="0" workbookViewId="0">
      <selection activeCell="C53" sqref="C53"/>
    </sheetView>
  </sheetViews>
  <sheetFormatPr baseColWidth="10" defaultColWidth="8.85546875" defaultRowHeight="12.75"/>
  <cols>
    <col min="1" max="1" width="56" customWidth="1"/>
    <col min="2" max="2" width="16.7109375" bestFit="1" customWidth="1"/>
    <col min="3" max="3" width="18.7109375" bestFit="1" customWidth="1"/>
    <col min="4" max="4" width="17.42578125" customWidth="1"/>
    <col min="5" max="5" width="15.7109375" bestFit="1" customWidth="1"/>
    <col min="6" max="6" width="17.5703125" customWidth="1"/>
    <col min="7" max="7" width="16.7109375" bestFit="1" customWidth="1"/>
    <col min="8" max="8" width="11" customWidth="1"/>
    <col min="9" max="9" width="14.7109375" bestFit="1" customWidth="1"/>
    <col min="11" max="11" width="15.7109375" bestFit="1" customWidth="1"/>
    <col min="13" max="13" width="9.42578125" customWidth="1"/>
    <col min="14" max="14" width="17.7109375" customWidth="1"/>
    <col min="15" max="15" width="16.28515625" customWidth="1"/>
    <col min="16" max="16" width="14.42578125" customWidth="1"/>
    <col min="17" max="17" width="19.42578125" customWidth="1"/>
  </cols>
  <sheetData>
    <row r="1" spans="1:17">
      <c r="A1" s="1060" t="s">
        <v>56</v>
      </c>
      <c r="B1" s="1060"/>
      <c r="C1" s="1060"/>
      <c r="D1" s="1060"/>
      <c r="E1" s="1061"/>
      <c r="F1" s="588">
        <v>9</v>
      </c>
      <c r="G1" s="589" t="s">
        <v>200</v>
      </c>
      <c r="H1" s="158"/>
      <c r="I1" s="158"/>
    </row>
    <row r="2" spans="1:17" ht="15.75">
      <c r="A2" s="590" t="s">
        <v>872</v>
      </c>
      <c r="B2" s="736" t="s">
        <v>200</v>
      </c>
      <c r="C2" s="736" t="s">
        <v>200</v>
      </c>
      <c r="D2" s="736" t="s">
        <v>200</v>
      </c>
      <c r="E2" s="736" t="s">
        <v>200</v>
      </c>
      <c r="F2" s="736" t="s">
        <v>200</v>
      </c>
      <c r="G2" s="737" t="s">
        <v>200</v>
      </c>
      <c r="H2" s="158"/>
      <c r="I2" s="158"/>
    </row>
    <row r="3" spans="1:17">
      <c r="A3" s="885" t="s">
        <v>444</v>
      </c>
      <c r="B3" s="1057" t="s">
        <v>873</v>
      </c>
      <c r="C3" s="1058"/>
      <c r="D3" s="1057" t="s">
        <v>874</v>
      </c>
      <c r="E3" s="1059"/>
      <c r="F3" s="1058" t="s">
        <v>875</v>
      </c>
      <c r="G3" s="1059"/>
      <c r="H3" s="158"/>
      <c r="I3" s="158"/>
      <c r="M3" s="842" t="s">
        <v>876</v>
      </c>
      <c r="N3" s="843"/>
      <c r="O3" s="844"/>
      <c r="P3" s="844"/>
      <c r="Q3" s="844"/>
    </row>
    <row r="4" spans="1:17">
      <c r="A4" s="885" t="s">
        <v>498</v>
      </c>
      <c r="B4" s="879" t="s">
        <v>877</v>
      </c>
      <c r="C4" s="685" t="s">
        <v>42</v>
      </c>
      <c r="D4" s="879" t="s">
        <v>877</v>
      </c>
      <c r="E4" s="880" t="s">
        <v>42</v>
      </c>
      <c r="F4" s="479" t="s">
        <v>877</v>
      </c>
      <c r="G4" s="880" t="s">
        <v>42</v>
      </c>
      <c r="H4" s="158"/>
      <c r="I4" s="158"/>
      <c r="M4" s="844"/>
      <c r="N4" s="844"/>
      <c r="O4" s="844"/>
      <c r="P4" s="844"/>
      <c r="Q4" s="844"/>
    </row>
    <row r="5" spans="1:17">
      <c r="A5" s="886" t="s">
        <v>878</v>
      </c>
      <c r="B5" s="881">
        <f>SUM('E-Cal Inv.'!B8:D8)</f>
        <v>461299592.58329773</v>
      </c>
      <c r="C5" s="888">
        <f>B5/$B$8</f>
        <v>0.55547961551232738</v>
      </c>
      <c r="D5" s="881">
        <f>'Ej 50-66'!F78+'Ej 50-66'!F47</f>
        <v>54491087</v>
      </c>
      <c r="E5" s="882">
        <f>+D5/SUM($B$5:$B$7)</f>
        <v>6.561611703600867E-2</v>
      </c>
      <c r="F5" s="706">
        <f>B5-D5</f>
        <v>406808505.58329773</v>
      </c>
      <c r="G5" s="882">
        <f>F5/B8</f>
        <v>0.48986349847631872</v>
      </c>
      <c r="H5" s="158"/>
      <c r="I5" s="158"/>
      <c r="M5" s="845" t="s">
        <v>50</v>
      </c>
      <c r="N5" s="846" t="s">
        <v>879</v>
      </c>
      <c r="O5" s="846" t="s">
        <v>880</v>
      </c>
      <c r="P5" s="846" t="s">
        <v>881</v>
      </c>
      <c r="Q5" s="847" t="s">
        <v>882</v>
      </c>
    </row>
    <row r="6" spans="1:17">
      <c r="A6" s="886" t="s">
        <v>883</v>
      </c>
      <c r="B6" s="881">
        <f>SUM('E-Cal Inv.'!B18:D18)</f>
        <v>225025021.43849018</v>
      </c>
      <c r="C6" s="888">
        <f>B6/$B$8</f>
        <v>0.27096666547940823</v>
      </c>
      <c r="D6" s="894">
        <f>'Ej 50-66'!E35</f>
        <v>799561.28871666663</v>
      </c>
      <c r="E6" s="882">
        <f>+D6/SUM(B5:B7)</f>
        <v>9.6280162474818526E-4</v>
      </c>
      <c r="F6" s="706">
        <f>B6-D6</f>
        <v>224225460.14977351</v>
      </c>
      <c r="G6" s="882">
        <f>F6/B8</f>
        <v>0.27000386385466008</v>
      </c>
      <c r="H6" s="158"/>
      <c r="I6" s="158"/>
      <c r="M6" s="848">
        <v>1</v>
      </c>
      <c r="N6" s="850"/>
      <c r="O6" s="850"/>
      <c r="P6" s="849"/>
      <c r="Q6" s="851"/>
    </row>
    <row r="7" spans="1:17">
      <c r="A7" s="886" t="s">
        <v>884</v>
      </c>
      <c r="B7" s="881">
        <f>SUM('E-Cal Inv.'!B23:D23)</f>
        <v>144128168.94457546</v>
      </c>
      <c r="C7" s="888">
        <f>B7/$B$8</f>
        <v>0.17355371900826447</v>
      </c>
      <c r="D7" s="895" t="s">
        <v>200</v>
      </c>
      <c r="E7" s="882"/>
      <c r="F7" s="706"/>
      <c r="G7" s="882">
        <f>C7</f>
        <v>0.17355371900826447</v>
      </c>
      <c r="H7" s="158"/>
      <c r="I7" s="158"/>
      <c r="M7" s="848">
        <v>2</v>
      </c>
      <c r="N7" s="850"/>
      <c r="O7" s="850"/>
      <c r="P7" s="849"/>
      <c r="Q7" s="851"/>
    </row>
    <row r="8" spans="1:17">
      <c r="A8" s="887" t="s">
        <v>595</v>
      </c>
      <c r="B8" s="883">
        <f>SUM(B5:B7)</f>
        <v>830452782.96636331</v>
      </c>
      <c r="C8" s="896">
        <f>SUM(C5:C7)</f>
        <v>1.0000000000000002</v>
      </c>
      <c r="D8" s="883">
        <f>D6+D5</f>
        <v>55290648.288716666</v>
      </c>
      <c r="E8" s="884">
        <f>SUM(E5:E7)</f>
        <v>6.6578918660756853E-2</v>
      </c>
      <c r="F8" s="897">
        <f>SUM(F5:F7)</f>
        <v>631033965.73307121</v>
      </c>
      <c r="G8" s="884">
        <f>SUM(G5:G7)</f>
        <v>0.93342108133924329</v>
      </c>
      <c r="H8" s="158"/>
      <c r="I8" s="158"/>
      <c r="M8" s="848">
        <v>3</v>
      </c>
      <c r="N8" s="850"/>
      <c r="O8" s="850"/>
      <c r="P8" s="849"/>
      <c r="Q8" s="851"/>
    </row>
    <row r="9" spans="1:17">
      <c r="A9" s="595"/>
      <c r="B9" s="889"/>
      <c r="C9" s="890"/>
      <c r="D9" s="890"/>
      <c r="E9" s="890"/>
      <c r="F9" s="890"/>
      <c r="G9" s="891"/>
      <c r="H9" s="158"/>
      <c r="I9" s="158"/>
      <c r="M9" s="848">
        <v>4</v>
      </c>
      <c r="N9" s="850"/>
      <c r="O9" s="850"/>
      <c r="P9" s="849"/>
      <c r="Q9" s="851"/>
    </row>
    <row r="10" spans="1:17" ht="15.75">
      <c r="A10" s="596" t="s">
        <v>885</v>
      </c>
      <c r="B10" s="892">
        <f>E5</f>
        <v>6.561611703600867E-2</v>
      </c>
      <c r="C10" s="893" t="s">
        <v>200</v>
      </c>
      <c r="D10" s="893" t="s">
        <v>200</v>
      </c>
      <c r="E10" s="893" t="s">
        <v>200</v>
      </c>
      <c r="F10" s="893" t="s">
        <v>200</v>
      </c>
      <c r="G10" s="893" t="s">
        <v>200</v>
      </c>
      <c r="H10" s="597" t="s">
        <v>200</v>
      </c>
      <c r="I10" s="598" t="s">
        <v>200</v>
      </c>
      <c r="M10" s="848">
        <v>5</v>
      </c>
      <c r="N10" s="850"/>
      <c r="O10" s="850"/>
      <c r="P10" s="849"/>
      <c r="Q10" s="851"/>
    </row>
    <row r="11" spans="1:17">
      <c r="A11" s="599" t="s">
        <v>886</v>
      </c>
      <c r="B11" s="600" t="s">
        <v>887</v>
      </c>
      <c r="C11" s="600" t="s">
        <v>888</v>
      </c>
      <c r="D11" s="600" t="s">
        <v>889</v>
      </c>
      <c r="E11" s="600" t="s">
        <v>888</v>
      </c>
      <c r="F11" s="600" t="s">
        <v>890</v>
      </c>
      <c r="G11" s="600" t="s">
        <v>889</v>
      </c>
      <c r="H11" s="600" t="s">
        <v>200</v>
      </c>
      <c r="I11" s="601" t="s">
        <v>891</v>
      </c>
      <c r="M11" s="848">
        <v>6</v>
      </c>
      <c r="N11" s="850"/>
      <c r="O11" s="850"/>
      <c r="P11" s="849"/>
      <c r="Q11" s="851"/>
    </row>
    <row r="12" spans="1:17">
      <c r="A12" s="480" t="s">
        <v>200</v>
      </c>
      <c r="B12" s="593" t="s">
        <v>200</v>
      </c>
      <c r="C12" s="593" t="s">
        <v>892</v>
      </c>
      <c r="D12" s="593" t="s">
        <v>892</v>
      </c>
      <c r="E12" s="593" t="s">
        <v>99</v>
      </c>
      <c r="F12" s="593" t="s">
        <v>893</v>
      </c>
      <c r="G12" s="593" t="s">
        <v>99</v>
      </c>
      <c r="H12" s="593" t="s">
        <v>894</v>
      </c>
      <c r="I12" s="594" t="s">
        <v>895</v>
      </c>
      <c r="M12" s="848">
        <v>7</v>
      </c>
      <c r="N12" s="850"/>
      <c r="O12" s="850"/>
      <c r="P12" s="849"/>
      <c r="Q12" s="851"/>
    </row>
    <row r="13" spans="1:17">
      <c r="A13" s="868" t="s">
        <v>896</v>
      </c>
      <c r="B13" s="620">
        <f>'Ej 50-66'!$F$47+'Ej 50-66'!$F$78</f>
        <v>54491087</v>
      </c>
      <c r="C13" s="620"/>
      <c r="D13" s="620" t="s">
        <v>200</v>
      </c>
      <c r="E13" s="620" t="s">
        <v>200</v>
      </c>
      <c r="F13" s="620" t="s">
        <v>200</v>
      </c>
      <c r="G13" s="620" t="s">
        <v>200</v>
      </c>
      <c r="H13" s="620" t="s">
        <v>200</v>
      </c>
      <c r="I13" s="657"/>
      <c r="M13" s="848">
        <v>8</v>
      </c>
      <c r="N13" s="850"/>
      <c r="O13" s="850"/>
      <c r="P13" s="849"/>
      <c r="Q13" s="851"/>
    </row>
    <row r="14" spans="1:17">
      <c r="A14" s="868" t="s">
        <v>897</v>
      </c>
      <c r="B14" s="620">
        <f>'Ej 50-66'!$F$47+'Ej 50-66'!$F$78</f>
        <v>54491087</v>
      </c>
      <c r="C14" s="620"/>
      <c r="D14" s="620"/>
      <c r="E14" s="620" t="s">
        <v>200</v>
      </c>
      <c r="F14" s="620" t="s">
        <v>200</v>
      </c>
      <c r="G14" s="620">
        <f>'Ej 50-66'!H59+'Ej 50-66'!H88</f>
        <v>12803514.5</v>
      </c>
      <c r="H14" s="607">
        <f>G14/B14*12/6</f>
        <v>0.46993059617254468</v>
      </c>
      <c r="I14" s="657">
        <f>'Ej 50-66'!I88+'Ej 50-66'!I59</f>
        <v>1634732.6099999999</v>
      </c>
      <c r="M14" s="848">
        <v>9</v>
      </c>
      <c r="N14" s="850"/>
      <c r="O14" s="850"/>
      <c r="P14" s="849"/>
      <c r="Q14" s="851"/>
    </row>
    <row r="15" spans="1:17">
      <c r="A15" s="455"/>
      <c r="B15" s="620"/>
      <c r="C15" s="620"/>
      <c r="D15" s="620"/>
      <c r="E15" s="620" t="s">
        <v>200</v>
      </c>
      <c r="F15" s="620" t="s">
        <v>200</v>
      </c>
      <c r="G15" s="620" t="s">
        <v>200</v>
      </c>
      <c r="H15" s="620" t="s">
        <v>200</v>
      </c>
      <c r="I15" s="657"/>
      <c r="M15" s="848">
        <v>10</v>
      </c>
      <c r="N15" s="850"/>
      <c r="O15" s="850"/>
      <c r="P15" s="849"/>
      <c r="Q15" s="851"/>
    </row>
    <row r="16" spans="1:17">
      <c r="A16" s="455"/>
      <c r="B16" s="620"/>
      <c r="C16" s="620"/>
      <c r="D16" s="620"/>
      <c r="E16" s="620" t="s">
        <v>200</v>
      </c>
      <c r="F16" s="620" t="s">
        <v>200</v>
      </c>
      <c r="G16" s="620" t="s">
        <v>200</v>
      </c>
      <c r="H16" s="620" t="s">
        <v>200</v>
      </c>
      <c r="I16" s="657" t="s">
        <v>200</v>
      </c>
      <c r="M16" s="848">
        <v>11</v>
      </c>
      <c r="N16" s="850"/>
      <c r="O16" s="850"/>
      <c r="P16" s="849"/>
      <c r="Q16" s="851"/>
    </row>
    <row r="17" spans="1:17">
      <c r="A17" s="602" t="s">
        <v>200</v>
      </c>
      <c r="B17" s="604" t="s">
        <v>200</v>
      </c>
      <c r="C17" s="603" t="s">
        <v>200</v>
      </c>
      <c r="D17" s="603" t="s">
        <v>200</v>
      </c>
      <c r="E17" s="603" t="s">
        <v>200</v>
      </c>
      <c r="F17" s="603" t="s">
        <v>200</v>
      </c>
      <c r="G17" s="604" t="s">
        <v>200</v>
      </c>
      <c r="H17" s="603" t="s">
        <v>200</v>
      </c>
      <c r="I17" s="605"/>
      <c r="M17" s="848">
        <v>12</v>
      </c>
      <c r="N17" s="850"/>
      <c r="O17" s="850"/>
      <c r="P17" s="849"/>
      <c r="Q17" s="851"/>
    </row>
    <row r="18" spans="1:17">
      <c r="A18" s="595" t="s">
        <v>898</v>
      </c>
      <c r="B18" s="815">
        <f>G18+I18</f>
        <v>14438247.109999999</v>
      </c>
      <c r="C18" s="816"/>
      <c r="D18" s="817">
        <f>SUM(D14:D17)</f>
        <v>0</v>
      </c>
      <c r="E18" s="816"/>
      <c r="F18" s="816"/>
      <c r="G18" s="818">
        <f>SUM(G14:G16)</f>
        <v>12803514.5</v>
      </c>
      <c r="H18" s="819"/>
      <c r="I18" s="815">
        <f>SUM(I13:I17)</f>
        <v>1634732.6099999999</v>
      </c>
      <c r="J18" s="159"/>
      <c r="K18" s="814">
        <f>B18+I18</f>
        <v>16072979.719999999</v>
      </c>
      <c r="M18" s="852" t="s">
        <v>224</v>
      </c>
      <c r="N18" s="853">
        <f>SUM(N6:N17)</f>
        <v>0</v>
      </c>
      <c r="O18" s="853">
        <f t="shared" ref="O18:Q18" si="0">SUM(O6:O17)</f>
        <v>0</v>
      </c>
      <c r="P18" s="853">
        <f t="shared" si="0"/>
        <v>0</v>
      </c>
      <c r="Q18" s="853">
        <f t="shared" si="0"/>
        <v>0</v>
      </c>
    </row>
    <row r="19" spans="1:17">
      <c r="A19" s="869">
        <v>36892</v>
      </c>
      <c r="B19" s="620">
        <f>B14+'Ej 50-66'!C20</f>
        <v>54970823.773230001</v>
      </c>
      <c r="C19" s="730">
        <f>'Ej 50-66'!E90</f>
        <v>983108.7</v>
      </c>
      <c r="D19" s="730">
        <f>'Ej 50-66'!$B$17/2+'Ej 50-66'!F61+'Ej 50-66'!F90</f>
        <v>15999692.781969</v>
      </c>
      <c r="E19" s="730" t="s">
        <v>200</v>
      </c>
      <c r="F19" s="730" t="s">
        <v>200</v>
      </c>
      <c r="G19" s="620" t="s">
        <v>200</v>
      </c>
      <c r="H19" s="730" t="s">
        <v>200</v>
      </c>
      <c r="I19" s="657" t="s">
        <v>200</v>
      </c>
    </row>
    <row r="20" spans="1:17">
      <c r="A20" s="812" t="s">
        <v>899</v>
      </c>
      <c r="B20" s="620">
        <f t="shared" ref="B20:B29" si="1">B19-C19</f>
        <v>53987715.073229998</v>
      </c>
      <c r="C20" s="620">
        <f>'Ej 50-66'!E61+'Ej 50-66'!E91</f>
        <v>983108.7</v>
      </c>
      <c r="D20" s="620">
        <f>'Ej 50-66'!$B$17/2+'Ej 50-66'!F62+'Ej 50-66'!F91</f>
        <v>15999692.781969</v>
      </c>
      <c r="E20" s="620">
        <f>$B$14/5</f>
        <v>10898217.4</v>
      </c>
      <c r="F20" s="620">
        <f>AVERAGE(B19:B20)</f>
        <v>54479269.42323</v>
      </c>
      <c r="G20" s="620">
        <f>D20+D19</f>
        <v>31999385.563937999</v>
      </c>
      <c r="H20" s="607">
        <f>G20/F20</f>
        <v>0.58736811089271768</v>
      </c>
      <c r="I20" s="657" t="s">
        <v>200</v>
      </c>
    </row>
    <row r="21" spans="1:17">
      <c r="A21" s="870">
        <v>37257</v>
      </c>
      <c r="B21" s="620">
        <f t="shared" si="1"/>
        <v>53004606.373229995</v>
      </c>
      <c r="C21" s="620">
        <f>'Ej 50-66'!E62+'Ej 50-66'!E92</f>
        <v>6565608.7000000002</v>
      </c>
      <c r="D21" s="620">
        <f>'Ej 50-66'!$B$17/2+'Ej 50-66'!F63+'Ej 50-66'!F92</f>
        <v>15753915.606968999</v>
      </c>
      <c r="E21" s="620"/>
      <c r="F21" s="620"/>
      <c r="G21" s="620" t="s">
        <v>200</v>
      </c>
      <c r="H21" s="607"/>
      <c r="I21" s="657" t="s">
        <v>200</v>
      </c>
    </row>
    <row r="22" spans="1:17">
      <c r="A22" s="812" t="s">
        <v>900</v>
      </c>
      <c r="B22" s="620">
        <f t="shared" si="1"/>
        <v>46438997.673229992</v>
      </c>
      <c r="C22" s="620">
        <f>'Ej 50-66'!E63+'Ej 50-66'!E93</f>
        <v>6565608.7000000002</v>
      </c>
      <c r="D22" s="620">
        <f>'Ej 50-66'!$B$17/2+'Ej 50-66'!F64+'Ej 50-66'!F93</f>
        <v>13833388.431969</v>
      </c>
      <c r="E22" s="620">
        <f t="shared" ref="E22:E28" si="2">$B$14/5</f>
        <v>10898217.4</v>
      </c>
      <c r="F22" s="620">
        <f>(B20+B22)/2</f>
        <v>50213356.373229995</v>
      </c>
      <c r="G22" s="620">
        <f>D22+D21</f>
        <v>29587304.038938001</v>
      </c>
      <c r="H22" s="607">
        <f>G22/F22</f>
        <v>0.58923175377919446</v>
      </c>
      <c r="I22" s="657" t="s">
        <v>200</v>
      </c>
      <c r="M22" s="844" t="s">
        <v>901</v>
      </c>
      <c r="N22" s="854">
        <v>114162.36</v>
      </c>
    </row>
    <row r="23" spans="1:17">
      <c r="A23" s="869">
        <v>37622</v>
      </c>
      <c r="B23" s="620">
        <f t="shared" si="1"/>
        <v>39873388.973229989</v>
      </c>
      <c r="C23" s="620">
        <f>'Ej 50-66'!E64+'Ej 50-66'!E94</f>
        <v>6565608.7000000002</v>
      </c>
      <c r="D23" s="620">
        <f>'Ej 50-66'!$B$17/2+'Ej 50-66'!F65+'Ej 50-66'!F94</f>
        <v>11912861.256968999</v>
      </c>
      <c r="E23" s="620"/>
      <c r="F23" s="620"/>
      <c r="G23" s="620" t="s">
        <v>200</v>
      </c>
      <c r="H23" s="607"/>
      <c r="I23" s="657" t="s">
        <v>200</v>
      </c>
      <c r="M23" s="844" t="s">
        <v>902</v>
      </c>
      <c r="N23" s="844" t="s">
        <v>903</v>
      </c>
    </row>
    <row r="24" spans="1:17">
      <c r="A24" s="812" t="s">
        <v>904</v>
      </c>
      <c r="B24" s="620">
        <f t="shared" si="1"/>
        <v>33307780.27322999</v>
      </c>
      <c r="C24" s="620">
        <f>'Ej 50-66'!E65+'Ej 50-66'!E95</f>
        <v>6565608.7000000002</v>
      </c>
      <c r="D24" s="620">
        <f>'Ej 50-66'!$B$17/2+'Ej 50-66'!F66+'Ej 50-66'!F95</f>
        <v>9992334.0819690004</v>
      </c>
      <c r="E24" s="620">
        <f t="shared" si="2"/>
        <v>10898217.4</v>
      </c>
      <c r="F24" s="620">
        <f>(B24+B22)/2</f>
        <v>39873388.973229989</v>
      </c>
      <c r="G24" s="620">
        <f>D24+D23</f>
        <v>21905195.338937998</v>
      </c>
      <c r="H24" s="607">
        <f>G24/F24</f>
        <v>0.54936878712879422</v>
      </c>
      <c r="I24" s="657" t="s">
        <v>200</v>
      </c>
    </row>
    <row r="25" spans="1:17">
      <c r="A25" s="870">
        <v>37987</v>
      </c>
      <c r="B25" s="620">
        <f t="shared" si="1"/>
        <v>26742171.573229991</v>
      </c>
      <c r="C25" s="620">
        <f>'Ej 50-66'!E66+'Ej 50-66'!E96</f>
        <v>6565608.7000000002</v>
      </c>
      <c r="D25" s="620">
        <f>'Ej 50-66'!$B$17/2+'Ej 50-66'!F67+'Ej 50-66'!F96</f>
        <v>8071806.9069689997</v>
      </c>
      <c r="E25" s="620"/>
      <c r="F25" s="620"/>
      <c r="G25" s="620"/>
      <c r="H25" s="607"/>
      <c r="I25" s="657" t="s">
        <v>200</v>
      </c>
    </row>
    <row r="26" spans="1:17">
      <c r="A26" s="812" t="s">
        <v>905</v>
      </c>
      <c r="B26" s="620">
        <f t="shared" si="1"/>
        <v>20176562.873229992</v>
      </c>
      <c r="C26" s="620">
        <f>'Ej 50-66'!E67+'Ej 50-66'!E97</f>
        <v>6565608.7000000002</v>
      </c>
      <c r="D26" s="620">
        <f>'Ej 50-66'!$B$17/2+'Ej 50-66'!F68+'Ej 50-66'!F97</f>
        <v>6151279.7319689998</v>
      </c>
      <c r="E26" s="620">
        <f t="shared" si="2"/>
        <v>10898217.4</v>
      </c>
      <c r="F26" s="620">
        <f>(B26+B24)/2</f>
        <v>26742171.573229991</v>
      </c>
      <c r="G26" s="620">
        <f>D26+D25</f>
        <v>14223086.638937999</v>
      </c>
      <c r="H26" s="607">
        <f>G26/F26</f>
        <v>0.53185982297622725</v>
      </c>
      <c r="I26" s="657" t="s">
        <v>200</v>
      </c>
    </row>
    <row r="27" spans="1:17">
      <c r="A27" s="869">
        <v>38353</v>
      </c>
      <c r="B27" s="620">
        <f t="shared" si="1"/>
        <v>13610954.173229992</v>
      </c>
      <c r="C27" s="620">
        <f>'Ej 50-66'!E68+'Ej 50-66'!E98</f>
        <v>6565608.7000000002</v>
      </c>
      <c r="D27" s="620">
        <f>'Ej 50-66'!$B$17/2+'Ej 50-66'!F69+'Ej 50-66'!F98</f>
        <v>4230752.556969</v>
      </c>
      <c r="E27" s="620"/>
      <c r="F27" s="620" t="s">
        <v>200</v>
      </c>
      <c r="G27" s="620" t="s">
        <v>200</v>
      </c>
      <c r="H27" s="607"/>
      <c r="I27" s="657" t="s">
        <v>200</v>
      </c>
    </row>
    <row r="28" spans="1:17">
      <c r="A28" s="812" t="s">
        <v>906</v>
      </c>
      <c r="B28" s="620">
        <f t="shared" si="1"/>
        <v>7045345.4732299922</v>
      </c>
      <c r="C28" s="620">
        <f>'Ej 50-66'!E69+'Ej 50-66'!E99</f>
        <v>6565608.7000000002</v>
      </c>
      <c r="D28" s="620">
        <f>'Ej 50-66'!$B$17/2+'Ej 50-66'!F70+'Ej 50-66'!F99</f>
        <v>2310225.3819690002</v>
      </c>
      <c r="E28" s="620">
        <f t="shared" si="2"/>
        <v>10898217.4</v>
      </c>
      <c r="F28" s="620">
        <f>(B28+B26)/2</f>
        <v>13610954.173229992</v>
      </c>
      <c r="G28" s="620">
        <f>D28+D27</f>
        <v>6540977.9389380002</v>
      </c>
      <c r="H28" s="607">
        <f>G28/F28</f>
        <v>0.4805671854955465</v>
      </c>
      <c r="I28" s="657" t="s">
        <v>200</v>
      </c>
    </row>
    <row r="29" spans="1:17">
      <c r="A29" s="812" t="s">
        <v>907</v>
      </c>
      <c r="B29" s="620">
        <f t="shared" si="1"/>
        <v>479736.77322999202</v>
      </c>
      <c r="C29" s="620"/>
      <c r="D29" s="620"/>
      <c r="E29" s="620"/>
      <c r="F29" s="620" t="s">
        <v>200</v>
      </c>
      <c r="G29" s="620" t="s">
        <v>200</v>
      </c>
      <c r="H29" s="620" t="s">
        <v>200</v>
      </c>
      <c r="I29" s="657" t="s">
        <v>200</v>
      </c>
    </row>
    <row r="30" spans="1:17">
      <c r="A30" s="480" t="s">
        <v>776</v>
      </c>
      <c r="B30" s="820">
        <f>E30+G30</f>
        <v>158747036.51969001</v>
      </c>
      <c r="C30" s="820">
        <f>SUM(C19:C29)</f>
        <v>54491087.000000007</v>
      </c>
      <c r="D30" s="820">
        <f>SUM(D19:D29)</f>
        <v>104255949.51969001</v>
      </c>
      <c r="E30" s="820">
        <f>SUM(E20:E28)</f>
        <v>54491087</v>
      </c>
      <c r="F30" s="820">
        <f>SUM(F20:F28)</f>
        <v>184919140.51614997</v>
      </c>
      <c r="G30" s="820">
        <f>SUM(G20:G28)</f>
        <v>104255949.51969001</v>
      </c>
      <c r="H30" s="820" t="s">
        <v>200</v>
      </c>
      <c r="I30" s="821">
        <f>I18</f>
        <v>1634732.6099999999</v>
      </c>
    </row>
    <row r="31" spans="1:17">
      <c r="F31" s="814">
        <f>B13-E20</f>
        <v>43592869.600000001</v>
      </c>
    </row>
    <row r="32" spans="1:17">
      <c r="A32" s="159"/>
      <c r="B32" s="159"/>
      <c r="F32" s="814">
        <f>F31/5</f>
        <v>8718573.9199999999</v>
      </c>
    </row>
    <row r="33" spans="1:5">
      <c r="A33" s="813" t="s">
        <v>908</v>
      </c>
      <c r="B33" s="840">
        <f>G18+I18</f>
        <v>14438247.109999999</v>
      </c>
      <c r="C33" s="159"/>
    </row>
    <row r="34" spans="1:5">
      <c r="A34" s="159"/>
      <c r="B34" s="159"/>
    </row>
    <row r="37" spans="1:5">
      <c r="A37" s="1062" t="s">
        <v>771</v>
      </c>
      <c r="B37" s="1064" t="s">
        <v>909</v>
      </c>
      <c r="C37" s="1064" t="s">
        <v>910</v>
      </c>
      <c r="D37" s="1064"/>
      <c r="E37" s="1064" t="s">
        <v>911</v>
      </c>
    </row>
    <row r="38" spans="1:5">
      <c r="A38" s="1063"/>
      <c r="B38" s="1065"/>
      <c r="C38" s="1065"/>
      <c r="D38" s="1065"/>
      <c r="E38" s="1065"/>
    </row>
    <row r="39" spans="1:5">
      <c r="A39" s="823">
        <v>1</v>
      </c>
      <c r="B39" s="824">
        <f>(G$18+I$18)/3</f>
        <v>4812749.0366666662</v>
      </c>
      <c r="C39" s="825">
        <f>G22</f>
        <v>29587304.038938001</v>
      </c>
      <c r="D39" s="824"/>
      <c r="E39" s="824">
        <f t="shared" ref="E39:E43" si="3">SUM(B39:D39)</f>
        <v>34400053.07560467</v>
      </c>
    </row>
    <row r="40" spans="1:5">
      <c r="A40" s="823">
        <v>2</v>
      </c>
      <c r="B40" s="824">
        <f>(G$18+I$18)/3</f>
        <v>4812749.0366666662</v>
      </c>
      <c r="C40" s="825">
        <f>G22</f>
        <v>29587304.038938001</v>
      </c>
      <c r="D40" s="824"/>
      <c r="E40" s="824">
        <f t="shared" si="3"/>
        <v>34400053.07560467</v>
      </c>
    </row>
    <row r="41" spans="1:5">
      <c r="A41" s="823">
        <v>3</v>
      </c>
      <c r="B41" s="824">
        <f>(G$18+I$18)/3</f>
        <v>4812749.0366666662</v>
      </c>
      <c r="C41" s="825">
        <f>G24</f>
        <v>21905195.338937998</v>
      </c>
      <c r="D41" s="824"/>
      <c r="E41" s="824">
        <f t="shared" si="3"/>
        <v>26717944.375604663</v>
      </c>
    </row>
    <row r="42" spans="1:5">
      <c r="A42" s="823">
        <v>4</v>
      </c>
      <c r="B42" s="824"/>
      <c r="C42" s="825">
        <f>G26</f>
        <v>14223086.638937999</v>
      </c>
      <c r="D42" s="824"/>
      <c r="E42" s="824">
        <f t="shared" si="3"/>
        <v>14223086.638937999</v>
      </c>
    </row>
    <row r="43" spans="1:5">
      <c r="A43" s="823">
        <v>5</v>
      </c>
      <c r="B43" s="824"/>
      <c r="C43" s="825">
        <f>G28</f>
        <v>6540977.9389380002</v>
      </c>
      <c r="D43" s="824"/>
      <c r="E43" s="824">
        <f t="shared" si="3"/>
        <v>6540977.9389380002</v>
      </c>
    </row>
    <row r="44" spans="1:5">
      <c r="A44" s="826" t="s">
        <v>595</v>
      </c>
      <c r="B44" s="827">
        <f t="shared" ref="B44:C44" si="4">SUM(B39:B43)</f>
        <v>14438247.109999999</v>
      </c>
      <c r="C44" s="828">
        <f t="shared" si="4"/>
        <v>101843867.99469</v>
      </c>
      <c r="D44" s="827"/>
      <c r="E44" s="827">
        <f>SUM(E39:E43)</f>
        <v>116282115.10469</v>
      </c>
    </row>
  </sheetData>
  <mergeCells count="9">
    <mergeCell ref="B3:C3"/>
    <mergeCell ref="D3:E3"/>
    <mergeCell ref="F3:G3"/>
    <mergeCell ref="A1:E1"/>
    <mergeCell ref="A37:A38"/>
    <mergeCell ref="B37:B38"/>
    <mergeCell ref="C37:C38"/>
    <mergeCell ref="D37:D38"/>
    <mergeCell ref="E37:E3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54C-6BF5-4BAD-85B6-BE85E0FEDDCA}">
  <sheetPr>
    <tabColor rgb="FFFFFF00"/>
  </sheetPr>
  <dimension ref="A1:I28"/>
  <sheetViews>
    <sheetView topLeftCell="A20" workbookViewId="0">
      <selection activeCell="C38" sqref="C38"/>
    </sheetView>
  </sheetViews>
  <sheetFormatPr baseColWidth="10" defaultColWidth="8.85546875" defaultRowHeight="12.75"/>
  <cols>
    <col min="1" max="1" width="43.7109375" customWidth="1"/>
    <col min="2" max="7" width="18.42578125" bestFit="1" customWidth="1"/>
  </cols>
  <sheetData>
    <row r="1" spans="1:9">
      <c r="A1" s="1066" t="s">
        <v>56</v>
      </c>
      <c r="B1" s="1066"/>
      <c r="C1" s="1066"/>
      <c r="D1" s="1066"/>
      <c r="E1" s="1067"/>
      <c r="F1" s="589">
        <v>9</v>
      </c>
      <c r="G1" s="158"/>
    </row>
    <row r="2" spans="1:9" ht="15.75">
      <c r="A2" s="608" t="s">
        <v>912</v>
      </c>
      <c r="B2" s="608"/>
      <c r="C2" s="610" t="s">
        <v>200</v>
      </c>
      <c r="D2" s="610" t="s">
        <v>200</v>
      </c>
      <c r="E2" s="610" t="s">
        <v>200</v>
      </c>
      <c r="F2" s="610" t="s">
        <v>200</v>
      </c>
      <c r="G2" s="592" t="s">
        <v>200</v>
      </c>
    </row>
    <row r="3" spans="1:9">
      <c r="A3" s="461" t="s">
        <v>444</v>
      </c>
      <c r="B3" s="593" t="s">
        <v>2</v>
      </c>
      <c r="C3" s="593" t="s">
        <v>3</v>
      </c>
      <c r="D3" s="593" t="s">
        <v>4</v>
      </c>
      <c r="E3" s="593" t="s">
        <v>5</v>
      </c>
      <c r="F3" s="611" t="s">
        <v>6</v>
      </c>
      <c r="G3" s="612" t="s">
        <v>595</v>
      </c>
    </row>
    <row r="4" spans="1:9">
      <c r="A4" s="158" t="s">
        <v>913</v>
      </c>
      <c r="B4" s="618">
        <f>'E-Costos'!C114</f>
        <v>1630125000</v>
      </c>
      <c r="C4" s="618">
        <f>'E-Costos'!D114</f>
        <v>2282175000</v>
      </c>
      <c r="D4" s="618">
        <f>'E-Costos'!E114</f>
        <v>2282175000</v>
      </c>
      <c r="E4" s="618">
        <f>'E-Costos'!F114</f>
        <v>2282175000</v>
      </c>
      <c r="F4" s="618">
        <f>'E-Costos'!G114</f>
        <v>2282175000</v>
      </c>
      <c r="G4" s="619">
        <f t="shared" ref="G4:G15" si="0">SUM(B4:F4)</f>
        <v>10758825000</v>
      </c>
    </row>
    <row r="5" spans="1:9">
      <c r="A5" s="158" t="s">
        <v>914</v>
      </c>
      <c r="B5" s="619">
        <f>'E-Costos'!C133</f>
        <v>1300718869.1151564</v>
      </c>
      <c r="C5" s="619">
        <f>'E-Costos'!D133</f>
        <v>1286234189.029948</v>
      </c>
      <c r="D5" s="619">
        <f>'E-Costos'!E133</f>
        <v>1284907895.4476042</v>
      </c>
      <c r="E5" s="619">
        <f>'E-Costos'!F133</f>
        <v>1284906880.9152615</v>
      </c>
      <c r="F5" s="619">
        <f>'E-Costos'!G133</f>
        <v>1284906880.9152615</v>
      </c>
      <c r="G5" s="619">
        <f t="shared" si="0"/>
        <v>6441674715.4232311</v>
      </c>
    </row>
    <row r="6" spans="1:9">
      <c r="A6" s="158" t="s">
        <v>915</v>
      </c>
      <c r="B6" s="619">
        <f>B4-B5</f>
        <v>329406130.88484359</v>
      </c>
      <c r="C6" s="619">
        <f t="shared" ref="C6:F6" si="1">C4-C5</f>
        <v>995940810.970052</v>
      </c>
      <c r="D6" s="619">
        <f t="shared" si="1"/>
        <v>997267104.55239582</v>
      </c>
      <c r="E6" s="619">
        <f t="shared" si="1"/>
        <v>997268119.08473849</v>
      </c>
      <c r="F6" s="619">
        <f t="shared" si="1"/>
        <v>997268119.08473849</v>
      </c>
      <c r="G6" s="619">
        <f t="shared" si="0"/>
        <v>4317150284.5767689</v>
      </c>
    </row>
    <row r="7" spans="1:9">
      <c r="A7" s="158" t="s">
        <v>532</v>
      </c>
      <c r="B7" s="619" t="s">
        <v>200</v>
      </c>
      <c r="C7" s="620" t="s">
        <v>200</v>
      </c>
      <c r="D7" s="620" t="s">
        <v>200</v>
      </c>
      <c r="E7" s="620" t="s">
        <v>200</v>
      </c>
      <c r="F7" s="621" t="s">
        <v>200</v>
      </c>
      <c r="G7" s="619">
        <f t="shared" si="0"/>
        <v>0</v>
      </c>
    </row>
    <row r="8" spans="1:9">
      <c r="A8" s="158" t="s">
        <v>916</v>
      </c>
      <c r="B8" s="619">
        <f>'E-Costos'!C135</f>
        <v>6593896.7025912134</v>
      </c>
      <c r="C8" s="619">
        <f>'E-Costos'!D135</f>
        <v>6527972.5575912148</v>
      </c>
      <c r="D8" s="619">
        <f>'E-Costos'!E135</f>
        <v>6527972.5575912148</v>
      </c>
      <c r="E8" s="619">
        <f>'E-Costos'!F135</f>
        <v>6527972.5575912148</v>
      </c>
      <c r="F8" s="619">
        <f>'E-Costos'!G135</f>
        <v>6527972.5575912148</v>
      </c>
      <c r="G8" s="619">
        <f t="shared" si="0"/>
        <v>32705786.932956073</v>
      </c>
    </row>
    <row r="9" spans="1:9">
      <c r="A9" s="158" t="s">
        <v>917</v>
      </c>
      <c r="B9" s="619">
        <f>'E-Costos'!C136</f>
        <v>60320330.701591209</v>
      </c>
      <c r="C9" s="619">
        <f>'E-Costos'!D136</f>
        <v>80793981.556591213</v>
      </c>
      <c r="D9" s="619">
        <f>'E-Costos'!E136</f>
        <v>80793981.556591213</v>
      </c>
      <c r="E9" s="619">
        <f>'E-Costos'!F136</f>
        <v>80793981.556591213</v>
      </c>
      <c r="F9" s="619">
        <f>'E-Costos'!G136</f>
        <v>80793981.556591213</v>
      </c>
      <c r="G9" s="619">
        <f t="shared" si="0"/>
        <v>383496256.92795604</v>
      </c>
    </row>
    <row r="10" spans="1:9">
      <c r="A10" s="158" t="s">
        <v>918</v>
      </c>
      <c r="B10" s="927">
        <f>E20</f>
        <v>34400053.07560467</v>
      </c>
      <c r="C10" s="927">
        <f>E21</f>
        <v>26717944.375604667</v>
      </c>
      <c r="D10" s="927">
        <f>E22</f>
        <v>14223086.638937999</v>
      </c>
      <c r="E10" s="927">
        <f>E23</f>
        <v>6540977.9389380002</v>
      </c>
      <c r="F10" s="927">
        <f>E24</f>
        <v>110849278.08</v>
      </c>
      <c r="G10" s="619">
        <f t="shared" si="0"/>
        <v>192731340.10908532</v>
      </c>
      <c r="I10" t="s">
        <v>919</v>
      </c>
    </row>
    <row r="11" spans="1:9">
      <c r="A11" s="595" t="s">
        <v>920</v>
      </c>
      <c r="B11" s="911">
        <f>B6-B8-B9-B10</f>
        <v>228091850.40505648</v>
      </c>
      <c r="C11" s="911">
        <f>C6-C8-C9-C10</f>
        <v>881900912.4802649</v>
      </c>
      <c r="D11" s="911">
        <f t="shared" ref="D11:F11" si="2">D6-D8-D9-D10</f>
        <v>895722063.7992754</v>
      </c>
      <c r="E11" s="911">
        <f t="shared" si="2"/>
        <v>903405187.031618</v>
      </c>
      <c r="F11" s="911">
        <f t="shared" si="2"/>
        <v>799096886.89055598</v>
      </c>
      <c r="G11" s="619">
        <f t="shared" si="0"/>
        <v>3708216900.6067705</v>
      </c>
    </row>
    <row r="12" spans="1:9">
      <c r="A12" s="158" t="s">
        <v>921</v>
      </c>
      <c r="B12" s="619">
        <f>IF(B11&gt;0,B11*InfoInicial!$B$5,0)</f>
        <v>15966429.528353956</v>
      </c>
      <c r="C12" s="619">
        <f>IF(C11&gt;0,C11*InfoInicial!$B$5,0)</f>
        <v>61733063.873618551</v>
      </c>
      <c r="D12" s="619">
        <f>IF(D11&gt;0,D11*InfoInicial!$B$5,0)</f>
        <v>62700544.465949282</v>
      </c>
      <c r="E12" s="619">
        <f>IF(E11&gt;0,E11*InfoInicial!$B$5,0)</f>
        <v>63238363.092213266</v>
      </c>
      <c r="F12" s="619">
        <f>IF(F11&gt;0,F11*InfoInicial!$B$5,0)</f>
        <v>55936782.082338922</v>
      </c>
      <c r="G12" s="619">
        <f t="shared" si="0"/>
        <v>259575183.04247397</v>
      </c>
    </row>
    <row r="13" spans="1:9">
      <c r="A13" s="625" t="s">
        <v>922</v>
      </c>
      <c r="B13" s="619">
        <f>B11*$C$28</f>
        <v>79832147.641769767</v>
      </c>
      <c r="C13" s="619">
        <f>C11*$C$28</f>
        <v>308665319.36809272</v>
      </c>
      <c r="D13" s="619">
        <f>D11*$C$28</f>
        <v>313502722.32974637</v>
      </c>
      <c r="E13" s="619">
        <f>E11*$C$28</f>
        <v>316191815.46106631</v>
      </c>
      <c r="F13" s="619">
        <f>F11*$C$28</f>
        <v>279683910.41169459</v>
      </c>
      <c r="G13" s="619">
        <f t="shared" si="0"/>
        <v>1297875915.2123697</v>
      </c>
    </row>
    <row r="14" spans="1:9">
      <c r="A14" s="158" t="s">
        <v>923</v>
      </c>
      <c r="B14" s="619">
        <f>IF(B13&gt;0,B11*InfoInicial!$B$4,0)</f>
        <v>79832147.641769767</v>
      </c>
      <c r="C14" s="619">
        <f>IF(C13&gt;0,C11*InfoInicial!$B$4,0)</f>
        <v>308665319.36809272</v>
      </c>
      <c r="D14" s="619">
        <f>IF(D13&gt;0,D11*InfoInicial!$B$4,0)</f>
        <v>313502722.32974637</v>
      </c>
      <c r="E14" s="619">
        <f>IF(E13&gt;0,E11*InfoInicial!$B$4,0)</f>
        <v>316191815.46106631</v>
      </c>
      <c r="F14" s="619">
        <f>IF(F13&gt;0,F11*InfoInicial!$B$4,0)</f>
        <v>279683910.41169459</v>
      </c>
      <c r="G14" s="619">
        <f t="shared" si="0"/>
        <v>1297875915.2123697</v>
      </c>
    </row>
    <row r="15" spans="1:9">
      <c r="A15" s="616" t="s">
        <v>924</v>
      </c>
      <c r="B15" s="910">
        <f>B11-B12-B14</f>
        <v>132293273.23493275</v>
      </c>
      <c r="C15" s="910">
        <f t="shared" ref="C15:F15" si="3">C11-C12-C14</f>
        <v>511502529.23855358</v>
      </c>
      <c r="D15" s="910">
        <f t="shared" si="3"/>
        <v>519518797.00357974</v>
      </c>
      <c r="E15" s="910">
        <f t="shared" si="3"/>
        <v>523975008.47833842</v>
      </c>
      <c r="F15" s="910">
        <f t="shared" si="3"/>
        <v>463476194.39652246</v>
      </c>
      <c r="G15" s="619">
        <f t="shared" si="0"/>
        <v>2150765802.3519268</v>
      </c>
    </row>
    <row r="19" spans="1:5" ht="38.25">
      <c r="A19" s="702" t="s">
        <v>771</v>
      </c>
      <c r="B19" s="929" t="s">
        <v>925</v>
      </c>
      <c r="C19" s="904" t="s">
        <v>926</v>
      </c>
      <c r="D19" s="904" t="s">
        <v>927</v>
      </c>
      <c r="E19" s="904" t="s">
        <v>928</v>
      </c>
    </row>
    <row r="20" spans="1:5">
      <c r="A20" s="928">
        <v>1</v>
      </c>
      <c r="B20" s="921">
        <f>'Ej 50-66'!B113</f>
        <v>4812749.0366666662</v>
      </c>
      <c r="C20" s="924">
        <f>'Ej 50-66'!C113</f>
        <v>287842.06393800001</v>
      </c>
      <c r="D20" s="924">
        <f>'Ej 50-66'!D113</f>
        <v>31711543.5</v>
      </c>
      <c r="E20" s="905">
        <f>SUM(B21:D21)</f>
        <v>34400053.07560467</v>
      </c>
    </row>
    <row r="21" spans="1:5">
      <c r="A21" s="923">
        <v>2</v>
      </c>
      <c r="B21" s="921">
        <f>'Ej 50-66'!B114</f>
        <v>4812749.0366666662</v>
      </c>
      <c r="C21" s="924">
        <f>'Ej 50-66'!C114</f>
        <v>287842.06393800001</v>
      </c>
      <c r="D21" s="924">
        <f>'Ej 50-66'!D114</f>
        <v>29299461.975000001</v>
      </c>
      <c r="E21" s="905">
        <f t="shared" ref="E21:E24" si="4">SUM(B22:D22)</f>
        <v>26717944.375604667</v>
      </c>
    </row>
    <row r="22" spans="1:5">
      <c r="A22" s="923">
        <v>3</v>
      </c>
      <c r="B22" s="921">
        <f>'Ej 50-66'!B115</f>
        <v>4812749.0366666662</v>
      </c>
      <c r="C22" s="924">
        <f>'Ej 50-66'!C115</f>
        <v>287842.06393800001</v>
      </c>
      <c r="D22" s="924">
        <f>'Ej 50-66'!D115</f>
        <v>21617353.274999999</v>
      </c>
      <c r="E22" s="905">
        <f>SUM(B23:D23)</f>
        <v>14223086.638937999</v>
      </c>
    </row>
    <row r="23" spans="1:5">
      <c r="A23" s="923">
        <v>4</v>
      </c>
      <c r="B23" s="922"/>
      <c r="C23" s="924">
        <f>'Ej 50-66'!C116</f>
        <v>287842.06393800001</v>
      </c>
      <c r="D23" s="924">
        <f>'Ej 50-66'!D116</f>
        <v>13935244.574999999</v>
      </c>
      <c r="E23" s="905">
        <f t="shared" si="4"/>
        <v>6540977.9389380002</v>
      </c>
    </row>
    <row r="24" spans="1:5">
      <c r="A24" s="863">
        <v>5</v>
      </c>
      <c r="B24" s="906" t="s">
        <v>200</v>
      </c>
      <c r="C24" s="924">
        <f>'Ej 50-66'!C117</f>
        <v>287842.06393800001</v>
      </c>
      <c r="D24" s="924">
        <f>'Ej 50-66'!D117</f>
        <v>6253135.875</v>
      </c>
      <c r="E24" s="905">
        <f t="shared" si="4"/>
        <v>110849278.08</v>
      </c>
    </row>
    <row r="25" spans="1:5">
      <c r="A25" s="861" t="s">
        <v>595</v>
      </c>
      <c r="B25" s="907">
        <v>2998244</v>
      </c>
      <c r="C25" s="907">
        <v>59866262.079999998</v>
      </c>
      <c r="D25" s="907">
        <v>47984772</v>
      </c>
      <c r="E25" s="907">
        <v>110849278.08</v>
      </c>
    </row>
    <row r="28" spans="1:5">
      <c r="B28" s="566" t="s">
        <v>929</v>
      </c>
      <c r="C28" s="226">
        <f>35%</f>
        <v>0.35</v>
      </c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F835-60A9-4D5A-8C7D-6848C1D5F283}">
  <sheetPr>
    <tabColor rgb="FFFFFF00"/>
  </sheetPr>
  <dimension ref="A1:F98"/>
  <sheetViews>
    <sheetView topLeftCell="A6" workbookViewId="0">
      <selection activeCell="D54" sqref="D54"/>
    </sheetView>
  </sheetViews>
  <sheetFormatPr baseColWidth="10" defaultColWidth="8.85546875" defaultRowHeight="12.75"/>
  <cols>
    <col min="1" max="1" width="52" customWidth="1"/>
    <col min="2" max="2" width="34.140625" bestFit="1" customWidth="1"/>
    <col min="3" max="6" width="18.42578125" bestFit="1" customWidth="1"/>
  </cols>
  <sheetData>
    <row r="1" spans="1:6">
      <c r="A1" s="586" t="s">
        <v>56</v>
      </c>
      <c r="B1" s="587"/>
      <c r="C1" s="587"/>
      <c r="D1" s="158">
        <v>9</v>
      </c>
      <c r="E1" s="606" t="s">
        <v>200</v>
      </c>
      <c r="F1" s="158"/>
    </row>
    <row r="2" spans="1:6" ht="15.75">
      <c r="A2" s="608" t="s">
        <v>930</v>
      </c>
      <c r="B2" s="610" t="s">
        <v>200</v>
      </c>
      <c r="C2" s="610" t="s">
        <v>200</v>
      </c>
      <c r="D2" s="592" t="s">
        <v>200</v>
      </c>
      <c r="E2" s="158"/>
      <c r="F2" s="158"/>
    </row>
    <row r="3" spans="1:6">
      <c r="A3" s="461" t="s">
        <v>444</v>
      </c>
      <c r="B3" s="595" t="s">
        <v>14</v>
      </c>
      <c r="C3" s="595" t="s">
        <v>2</v>
      </c>
      <c r="D3" s="612" t="s">
        <v>595</v>
      </c>
      <c r="E3" s="158"/>
      <c r="F3" s="158"/>
    </row>
    <row r="4" spans="1:6">
      <c r="A4" s="595" t="s">
        <v>931</v>
      </c>
      <c r="B4" s="636" t="s">
        <v>200</v>
      </c>
      <c r="C4" s="636" t="s">
        <v>200</v>
      </c>
      <c r="D4" s="636" t="s">
        <v>200</v>
      </c>
      <c r="E4" s="158"/>
      <c r="F4" s="158"/>
    </row>
    <row r="5" spans="1:6">
      <c r="A5" s="158"/>
      <c r="B5" s="636" t="s">
        <v>200</v>
      </c>
      <c r="C5" s="636" t="s">
        <v>200</v>
      </c>
      <c r="D5" s="636" t="s">
        <v>200</v>
      </c>
      <c r="E5" s="158"/>
      <c r="F5" s="158"/>
    </row>
    <row r="6" spans="1:6">
      <c r="A6" s="158" t="s">
        <v>932</v>
      </c>
      <c r="B6" s="636">
        <f>'E-Inv AF y Am'!B21</f>
        <v>178373548.63124999</v>
      </c>
      <c r="C6" s="636">
        <f>'E-Inv AF y Am'!C21</f>
        <v>0</v>
      </c>
      <c r="D6" s="636">
        <f>B6+C6</f>
        <v>178373548.63124999</v>
      </c>
      <c r="E6" s="158"/>
      <c r="F6" s="158"/>
    </row>
    <row r="7" spans="1:6">
      <c r="A7" s="158" t="s">
        <v>933</v>
      </c>
      <c r="B7" s="636">
        <f>'E-Inv AF y Am'!B33+'F-Cred'!G18+'F-Cred'!I18</f>
        <v>128286845.26000001</v>
      </c>
      <c r="C7" s="636">
        <f>'E-Inv AF y Am'!C33</f>
        <v>169077445.80204773</v>
      </c>
      <c r="D7" s="636">
        <f>B7+C7</f>
        <v>297364291.06204772</v>
      </c>
      <c r="E7" s="158"/>
      <c r="F7" s="158"/>
    </row>
    <row r="8" spans="1:6">
      <c r="A8" s="595" t="s">
        <v>934</v>
      </c>
      <c r="B8" s="636">
        <f>B7+B6</f>
        <v>306660393.89125001</v>
      </c>
      <c r="C8" s="636">
        <f>SUM(C6:C7)</f>
        <v>169077445.80204773</v>
      </c>
      <c r="D8" s="636">
        <f>B8+C8</f>
        <v>475737839.69329774</v>
      </c>
      <c r="E8" s="158"/>
      <c r="F8" s="158"/>
    </row>
    <row r="9" spans="1:6">
      <c r="A9" s="158" t="s">
        <v>935</v>
      </c>
      <c r="B9" s="636">
        <f>InfoInicial!B3*B8</f>
        <v>64398682.717162497</v>
      </c>
      <c r="C9" s="636">
        <f>C8*InfoInicial!B3</f>
        <v>35506263.618430018</v>
      </c>
      <c r="D9" s="636">
        <f>B9+C9</f>
        <v>99904946.335592508</v>
      </c>
      <c r="E9" s="819"/>
      <c r="F9" s="158"/>
    </row>
    <row r="10" spans="1:6">
      <c r="A10" s="595" t="s">
        <v>936</v>
      </c>
      <c r="B10" s="636">
        <f>B9+B8</f>
        <v>371059076.6084125</v>
      </c>
      <c r="C10" s="636">
        <f>C9+C8</f>
        <v>204583709.42047775</v>
      </c>
      <c r="D10" s="636">
        <f>B10+C10</f>
        <v>575642786.02889025</v>
      </c>
      <c r="E10" s="158"/>
      <c r="F10" s="158"/>
    </row>
    <row r="11" spans="1:6">
      <c r="A11" s="595" t="s">
        <v>937</v>
      </c>
      <c r="B11" s="636" t="s">
        <v>200</v>
      </c>
      <c r="C11" s="636" t="s">
        <v>200</v>
      </c>
      <c r="D11" s="636"/>
      <c r="E11" s="158"/>
      <c r="F11" s="158"/>
    </row>
    <row r="12" spans="1:6">
      <c r="A12" s="158" t="s">
        <v>938</v>
      </c>
      <c r="B12" s="636">
        <f>'E-InvAT'!B6</f>
        <v>2608200</v>
      </c>
      <c r="C12" s="636">
        <f>'E-InvAT'!C6-'E-InvAT'!B6</f>
        <v>29994300</v>
      </c>
      <c r="D12" s="636">
        <f>B12+C12</f>
        <v>32602500</v>
      </c>
      <c r="E12" s="158"/>
      <c r="F12" s="158"/>
    </row>
    <row r="13" spans="1:6">
      <c r="A13" s="158" t="s">
        <v>939</v>
      </c>
      <c r="B13" s="636">
        <f>'E-InvAT'!B7</f>
        <v>0</v>
      </c>
      <c r="C13" s="636">
        <f>'E-InvAT'!C7</f>
        <v>133982876.71232876</v>
      </c>
      <c r="D13" s="636">
        <f>B13+C13</f>
        <v>133982876.71232876</v>
      </c>
      <c r="E13" s="158"/>
      <c r="F13" s="158"/>
    </row>
    <row r="14" spans="1:6">
      <c r="A14" s="158" t="s">
        <v>940</v>
      </c>
      <c r="B14" s="636">
        <f>'E-InvAT'!B9</f>
        <v>959473.54645999998</v>
      </c>
      <c r="C14" s="636">
        <f>'E-InvAT'!C9</f>
        <v>66466505.091998838</v>
      </c>
      <c r="D14" s="636">
        <f>B14+C14</f>
        <v>67425978.638458833</v>
      </c>
      <c r="E14" s="158"/>
      <c r="F14" s="158"/>
    </row>
    <row r="15" spans="1:6">
      <c r="A15" s="595" t="s">
        <v>941</v>
      </c>
      <c r="B15" s="636">
        <f>'E-InvAT'!B15</f>
        <v>3567673.5464599999</v>
      </c>
      <c r="C15" s="636">
        <f>SUM(C12:C14)</f>
        <v>230443681.80432761</v>
      </c>
      <c r="D15" s="636">
        <f>B15+C15</f>
        <v>234011355.35078761</v>
      </c>
      <c r="E15" s="158"/>
      <c r="F15" s="158"/>
    </row>
    <row r="16" spans="1:6">
      <c r="A16" s="158" t="s">
        <v>532</v>
      </c>
      <c r="B16" s="636" t="s">
        <v>200</v>
      </c>
      <c r="C16" s="636" t="s">
        <v>200</v>
      </c>
      <c r="D16" s="636"/>
      <c r="E16" s="158"/>
      <c r="F16" s="158"/>
    </row>
    <row r="17" spans="1:6">
      <c r="A17" s="158" t="s">
        <v>942</v>
      </c>
      <c r="B17" s="636">
        <f>'E-InvAT'!B17+'E-InvAT'!B18</f>
        <v>0</v>
      </c>
      <c r="C17" s="636">
        <f>'E-InvAT'!C17+'E-InvAT'!C18</f>
        <v>8026860.365837398</v>
      </c>
      <c r="D17" s="636">
        <f t="shared" ref="D17:D23" si="0">B17+C17</f>
        <v>8026860.365837398</v>
      </c>
      <c r="E17" s="158"/>
      <c r="F17" s="158"/>
    </row>
    <row r="18" spans="1:6">
      <c r="A18" s="158" t="s">
        <v>943</v>
      </c>
      <c r="B18" s="636">
        <f>'E-InvAT'!B20</f>
        <v>0</v>
      </c>
      <c r="C18" s="636">
        <f>('E-Inv AF y Am'!D57-C17+('F-Cred'!B18+'F-Cred'!I18)/3)*'E-InvAT'!J1/360</f>
        <v>5485550.8843046231</v>
      </c>
      <c r="D18" s="636">
        <f t="shared" si="0"/>
        <v>5485550.8843046231</v>
      </c>
      <c r="E18" s="158"/>
      <c r="F18" s="158"/>
    </row>
    <row r="19" spans="1:6">
      <c r="A19" s="158" t="s">
        <v>944</v>
      </c>
      <c r="B19" s="636">
        <f>'E-InvAT'!B19</f>
        <v>0</v>
      </c>
      <c r="C19" s="930">
        <f>('F-CRes'!B14/'E-Costos'!C114)*'E-InvAT'!C7</f>
        <v>6561546.3815153232</v>
      </c>
      <c r="D19" s="636">
        <f t="shared" si="0"/>
        <v>6561546.3815153232</v>
      </c>
      <c r="E19" s="158"/>
      <c r="F19" s="158"/>
    </row>
    <row r="20" spans="1:6">
      <c r="A20" s="595" t="s">
        <v>945</v>
      </c>
      <c r="B20" s="636">
        <f>B15-B17-B18-B19</f>
        <v>3567673.5464599999</v>
      </c>
      <c r="C20" s="636">
        <f>C15-C17-C18-C19</f>
        <v>210369724.17267027</v>
      </c>
      <c r="D20" s="636">
        <f t="shared" si="0"/>
        <v>213937397.71913028</v>
      </c>
      <c r="E20" s="158"/>
      <c r="F20" s="158"/>
    </row>
    <row r="21" spans="1:6">
      <c r="A21" s="158" t="s">
        <v>689</v>
      </c>
      <c r="B21" s="636">
        <f>'E-InvAT'!B34</f>
        <v>79437.423756599994</v>
      </c>
      <c r="C21" s="636">
        <f>'E-InvAT'!C34</f>
        <v>44291437.814206235</v>
      </c>
      <c r="D21" s="636">
        <f t="shared" si="0"/>
        <v>44370875.237962835</v>
      </c>
      <c r="E21" s="819"/>
      <c r="F21" s="158"/>
    </row>
    <row r="22" spans="1:6">
      <c r="A22" s="595" t="s">
        <v>946</v>
      </c>
      <c r="B22" s="636">
        <f>B15+B21</f>
        <v>3647110.9702165998</v>
      </c>
      <c r="C22" s="636">
        <f>C15*(1+InfoInicial!B3)</f>
        <v>278836854.98323637</v>
      </c>
      <c r="D22" s="636">
        <f t="shared" si="0"/>
        <v>282483965.95345294</v>
      </c>
      <c r="E22" s="158"/>
      <c r="F22" s="158"/>
    </row>
    <row r="23" spans="1:6">
      <c r="A23" s="595" t="s">
        <v>947</v>
      </c>
      <c r="B23" s="636">
        <f>B20+B21</f>
        <v>3647110.9702165998</v>
      </c>
      <c r="C23" s="636">
        <f>C20+C21</f>
        <v>254661161.98687652</v>
      </c>
      <c r="D23" s="636">
        <f t="shared" si="0"/>
        <v>258308272.95709312</v>
      </c>
      <c r="E23" s="158"/>
      <c r="F23" s="158"/>
    </row>
    <row r="24" spans="1:6">
      <c r="A24" s="595" t="s">
        <v>948</v>
      </c>
      <c r="B24" s="636" t="s">
        <v>200</v>
      </c>
      <c r="C24" s="636" t="s">
        <v>200</v>
      </c>
      <c r="D24" s="636"/>
      <c r="E24" s="158"/>
      <c r="F24" s="158"/>
    </row>
    <row r="25" spans="1:6">
      <c r="A25" s="158" t="s">
        <v>949</v>
      </c>
      <c r="B25" s="636">
        <f>B10</f>
        <v>371059076.6084125</v>
      </c>
      <c r="C25" s="636">
        <f>C10</f>
        <v>204583709.42047775</v>
      </c>
      <c r="D25" s="636">
        <f t="shared" ref="D25:D31" si="1">B25+C25</f>
        <v>575642786.02889025</v>
      </c>
      <c r="E25" s="158"/>
      <c r="F25" s="158"/>
    </row>
    <row r="26" spans="1:6">
      <c r="A26" s="158" t="s">
        <v>950</v>
      </c>
      <c r="B26" s="636">
        <f>B23</f>
        <v>3647110.9702165998</v>
      </c>
      <c r="C26" s="636">
        <f>C23</f>
        <v>254661161.98687652</v>
      </c>
      <c r="D26" s="636">
        <f t="shared" si="1"/>
        <v>258308272.95709312</v>
      </c>
      <c r="E26" s="158"/>
      <c r="F26" s="158"/>
    </row>
    <row r="27" spans="1:6">
      <c r="A27" s="595" t="s">
        <v>951</v>
      </c>
      <c r="B27" s="636">
        <f>B25+B26</f>
        <v>374706187.57862908</v>
      </c>
      <c r="C27" s="636">
        <f>C25+C26</f>
        <v>459244871.40735424</v>
      </c>
      <c r="D27" s="636">
        <f t="shared" si="1"/>
        <v>833951058.98598337</v>
      </c>
      <c r="E27" s="617" t="s">
        <v>200</v>
      </c>
      <c r="F27" s="158"/>
    </row>
    <row r="28" spans="1:6">
      <c r="A28" s="595" t="s">
        <v>952</v>
      </c>
      <c r="B28" s="636">
        <v>0</v>
      </c>
      <c r="C28" s="636">
        <v>0</v>
      </c>
      <c r="D28" s="636">
        <f t="shared" si="1"/>
        <v>0</v>
      </c>
      <c r="E28" s="627" t="s">
        <v>953</v>
      </c>
      <c r="F28" s="158"/>
    </row>
    <row r="29" spans="1:6">
      <c r="A29" s="595" t="s">
        <v>954</v>
      </c>
      <c r="B29" s="636">
        <v>0</v>
      </c>
      <c r="C29" s="636">
        <f>'F-Cred'!D6</f>
        <v>799561.28871666663</v>
      </c>
      <c r="D29" s="636">
        <f t="shared" si="1"/>
        <v>799561.28871666663</v>
      </c>
      <c r="E29" s="841">
        <f>D29/$D$27</f>
        <v>9.5876284357605845E-4</v>
      </c>
      <c r="F29" s="158"/>
    </row>
    <row r="30" spans="1:6">
      <c r="A30" s="595" t="s">
        <v>955</v>
      </c>
      <c r="B30" s="636">
        <f>'F-Cred'!C30</f>
        <v>54491087.000000007</v>
      </c>
      <c r="C30" s="636"/>
      <c r="D30" s="636">
        <f t="shared" si="1"/>
        <v>54491087.000000007</v>
      </c>
      <c r="E30" s="615">
        <f>D30/$D$27</f>
        <v>6.5340869122771705E-2</v>
      </c>
      <c r="F30" s="158"/>
    </row>
    <row r="31" spans="1:6">
      <c r="A31" s="595" t="s">
        <v>956</v>
      </c>
      <c r="B31" s="721">
        <f>B27-B29-B30</f>
        <v>320215100.57862908</v>
      </c>
      <c r="C31" s="721">
        <f>C27-C29-C30</f>
        <v>458445310.11863756</v>
      </c>
      <c r="D31" s="721">
        <f t="shared" si="1"/>
        <v>778660410.69726658</v>
      </c>
      <c r="E31" s="722">
        <f t="shared" ref="E31:E32" si="2">D31/$D$27</f>
        <v>0.93370036803365208</v>
      </c>
      <c r="F31" s="158"/>
    </row>
    <row r="32" spans="1:6">
      <c r="A32" s="616" t="s">
        <v>595</v>
      </c>
      <c r="B32" s="719">
        <f>SUM(B29:B31)</f>
        <v>374706187.57862908</v>
      </c>
      <c r="C32" s="719">
        <f>SUM(C29:C31)</f>
        <v>459244871.40735424</v>
      </c>
      <c r="D32" s="719">
        <f>SUM(D29:D31)</f>
        <v>833951058.98598325</v>
      </c>
      <c r="E32" s="720">
        <f t="shared" si="2"/>
        <v>0.99999999999999989</v>
      </c>
      <c r="F32" s="158"/>
    </row>
    <row r="33" spans="1:6">
      <c r="A33" s="625" t="s">
        <v>957</v>
      </c>
      <c r="B33" s="819">
        <f>+B21+B9</f>
        <v>64478120.140919097</v>
      </c>
      <c r="C33" s="819">
        <f>+C21+C9</f>
        <v>79797701.432636261</v>
      </c>
      <c r="D33" s="819"/>
      <c r="E33" s="158"/>
      <c r="F33" s="158"/>
    </row>
    <row r="34" spans="1:6">
      <c r="A34" s="625" t="s">
        <v>958</v>
      </c>
      <c r="B34" s="819">
        <f>B31</f>
        <v>320215100.57862908</v>
      </c>
      <c r="C34" s="819">
        <f>B31+C31</f>
        <v>778660410.69726658</v>
      </c>
      <c r="D34" s="158"/>
      <c r="E34" s="158"/>
      <c r="F34" s="158"/>
    </row>
    <row r="35" spans="1:6" ht="15.75">
      <c r="A35" s="608" t="s">
        <v>959</v>
      </c>
      <c r="B35" s="610" t="s">
        <v>200</v>
      </c>
      <c r="C35" s="610" t="s">
        <v>200</v>
      </c>
      <c r="D35" s="610" t="s">
        <v>200</v>
      </c>
      <c r="E35" s="610" t="s">
        <v>200</v>
      </c>
      <c r="F35" s="610" t="s">
        <v>200</v>
      </c>
    </row>
    <row r="36" spans="1:6">
      <c r="A36" s="461" t="s">
        <v>444</v>
      </c>
      <c r="B36" s="593" t="s">
        <v>2</v>
      </c>
      <c r="C36" s="593" t="s">
        <v>3</v>
      </c>
      <c r="D36" s="593" t="s">
        <v>4</v>
      </c>
      <c r="E36" s="593" t="s">
        <v>5</v>
      </c>
      <c r="F36" s="593" t="s">
        <v>6</v>
      </c>
    </row>
    <row r="37" spans="1:6">
      <c r="A37" s="92" t="s">
        <v>581</v>
      </c>
      <c r="B37" s="636">
        <f>'E-Costos'!C154</f>
        <v>71623865.399076208</v>
      </c>
      <c r="C37" s="636">
        <f>'E-Costos'!D154</f>
        <v>71623865.399076208</v>
      </c>
      <c r="D37" s="636">
        <f>'E-Costos'!E154</f>
        <v>71623865.399076208</v>
      </c>
      <c r="E37" s="636">
        <f>'E-Costos'!F154</f>
        <v>71623865.399076208</v>
      </c>
      <c r="F37" s="636">
        <f>'E-Costos'!G154</f>
        <v>71623865.399076208</v>
      </c>
    </row>
    <row r="38" spans="1:6">
      <c r="A38" s="94" t="s">
        <v>582</v>
      </c>
      <c r="B38" s="636">
        <f>'E-Costos'!C155</f>
        <v>1302368510.1261854</v>
      </c>
      <c r="C38" s="636">
        <f>'E-Costos'!D155</f>
        <v>1213283015.5161855</v>
      </c>
      <c r="D38" s="636">
        <f>'E-Costos'!E155</f>
        <v>1213283015.5161855</v>
      </c>
      <c r="E38" s="636">
        <f>'E-Costos'!F155</f>
        <v>1213283015.5161855</v>
      </c>
      <c r="F38" s="636">
        <f>'E-Costos'!G155</f>
        <v>1213283015.5161855</v>
      </c>
    </row>
    <row r="39" spans="1:6">
      <c r="A39" s="92" t="s">
        <v>583</v>
      </c>
      <c r="B39" s="636">
        <f>'E-Costos'!C156</f>
        <v>6386781.5859320518</v>
      </c>
      <c r="C39" s="636">
        <f>'E-Costos'!D156</f>
        <v>6320857.4409320531</v>
      </c>
      <c r="D39" s="636">
        <f>'E-Costos'!E156</f>
        <v>6320857.4409320531</v>
      </c>
      <c r="E39" s="636">
        <f>'E-Costos'!F156</f>
        <v>6320857.4409320531</v>
      </c>
      <c r="F39" s="636">
        <f>'E-Costos'!G156</f>
        <v>6320857.4409320531</v>
      </c>
    </row>
    <row r="40" spans="1:6">
      <c r="A40" s="94" t="s">
        <v>584</v>
      </c>
      <c r="B40" s="636">
        <f>'E-Costos'!C157</f>
        <v>207115.11665916175</v>
      </c>
      <c r="C40" s="636">
        <f>'E-Costos'!D157</f>
        <v>207115.11665916172</v>
      </c>
      <c r="D40" s="636">
        <f>'E-Costos'!E157</f>
        <v>207115.11665916172</v>
      </c>
      <c r="E40" s="636">
        <f>'E-Costos'!F157</f>
        <v>207115.11665916172</v>
      </c>
      <c r="F40" s="636">
        <f>'E-Costos'!G157</f>
        <v>207115.11665916172</v>
      </c>
    </row>
    <row r="41" spans="1:6">
      <c r="A41" s="92" t="s">
        <v>585</v>
      </c>
      <c r="B41" s="636">
        <f>'E-Costos'!C158</f>
        <v>54711934.001515433</v>
      </c>
      <c r="C41" s="636">
        <f>'E-Costos'!D158</f>
        <v>74210649.101515442</v>
      </c>
      <c r="D41" s="636">
        <f>'E-Costos'!E158</f>
        <v>74210649.101515442</v>
      </c>
      <c r="E41" s="636">
        <f>'E-Costos'!F158</f>
        <v>74210649.101515442</v>
      </c>
      <c r="F41" s="636">
        <f>'E-Costos'!G158</f>
        <v>74210649.101515442</v>
      </c>
    </row>
    <row r="42" spans="1:6">
      <c r="A42" s="94" t="s">
        <v>586</v>
      </c>
      <c r="B42" s="636">
        <f>'E-Costos'!C159</f>
        <v>5608396.7000757717</v>
      </c>
      <c r="C42" s="636">
        <f>'E-Costos'!D159</f>
        <v>6583332.4550757725</v>
      </c>
      <c r="D42" s="636">
        <f>'E-Costos'!E159</f>
        <v>6583332.4550757725</v>
      </c>
      <c r="E42" s="636">
        <f>'E-Costos'!F159</f>
        <v>6583332.4550757725</v>
      </c>
      <c r="F42" s="636">
        <f>'E-Costos'!G159</f>
        <v>6583332.4550757725</v>
      </c>
    </row>
    <row r="43" spans="1:6">
      <c r="A43" s="461" t="s">
        <v>789</v>
      </c>
      <c r="B43" s="620">
        <f>'F-CRes'!B10</f>
        <v>34400053.07560467</v>
      </c>
      <c r="C43" s="620">
        <f>'F-CRes'!C10</f>
        <v>26717944.375604667</v>
      </c>
      <c r="D43" s="620">
        <f>'F-CRes'!D10</f>
        <v>14223086.638937999</v>
      </c>
      <c r="E43" s="620">
        <f>'F-CRes'!E10</f>
        <v>6540977.9389380002</v>
      </c>
      <c r="F43" s="620">
        <f>'F-CRes'!F10</f>
        <v>110849278.08</v>
      </c>
    </row>
    <row r="44" spans="1:6">
      <c r="A44" s="461" t="s">
        <v>587</v>
      </c>
      <c r="B44" s="620">
        <f>'F-CRes'!B4-B38-B40-B42-B43</f>
        <v>287540924.981475</v>
      </c>
      <c r="C44" s="620">
        <f>'F-CRes'!C4-C38-C40-C42-C43</f>
        <v>1035383592.5364749</v>
      </c>
      <c r="D44" s="620">
        <f>'F-CRes'!D4-D38-D40-D42-D43</f>
        <v>1047878450.2731416</v>
      </c>
      <c r="E44" s="620">
        <f>'F-CRes'!E4-E38-E40-E42-E43</f>
        <v>1055560558.9731416</v>
      </c>
      <c r="F44" s="620">
        <f>'F-CRes'!F4-F38-F40-F42-F43</f>
        <v>951252258.83207953</v>
      </c>
    </row>
    <row r="45" spans="1:6">
      <c r="A45" s="480" t="s">
        <v>588</v>
      </c>
      <c r="B45" s="623">
        <f>(B37+B39+B41)/B44</f>
        <v>0.46157805535011903</v>
      </c>
      <c r="C45" s="623">
        <f t="shared" ref="C45:F45" si="3">(C37+C39+C41)/C44</f>
        <v>0.14695555641245445</v>
      </c>
      <c r="D45" s="623">
        <f t="shared" si="3"/>
        <v>0.14520326465523042</v>
      </c>
      <c r="E45" s="623">
        <f t="shared" si="3"/>
        <v>0.14414651120494854</v>
      </c>
      <c r="F45" s="623">
        <f t="shared" si="3"/>
        <v>0.15995270500417602</v>
      </c>
    </row>
    <row r="46" spans="1:6" ht="15.75">
      <c r="A46" s="628" t="s">
        <v>960</v>
      </c>
      <c r="B46" s="609"/>
      <c r="C46" s="609"/>
      <c r="D46" s="609"/>
      <c r="E46" s="158"/>
      <c r="F46" s="158"/>
    </row>
    <row r="50" spans="1:6" ht="15">
      <c r="A50" s="98" t="s">
        <v>2</v>
      </c>
      <c r="B50" s="3"/>
      <c r="C50" s="3"/>
      <c r="D50" s="3"/>
      <c r="E50" s="3"/>
      <c r="F50" s="3"/>
    </row>
    <row r="51" spans="1:6">
      <c r="A51" s="99" t="s">
        <v>590</v>
      </c>
      <c r="B51" s="531" t="s">
        <v>591</v>
      </c>
      <c r="C51" s="531" t="s">
        <v>592</v>
      </c>
      <c r="D51" s="531" t="s">
        <v>593</v>
      </c>
      <c r="E51" s="531" t="s">
        <v>594</v>
      </c>
      <c r="F51" s="531" t="s">
        <v>595</v>
      </c>
    </row>
    <row r="52" spans="1:6">
      <c r="A52" s="100">
        <f>'E-Costos'!B166</f>
        <v>1630125000</v>
      </c>
      <c r="B52" s="532">
        <v>0</v>
      </c>
      <c r="C52" s="533">
        <f>$A$52*B52</f>
        <v>0</v>
      </c>
      <c r="D52" s="440">
        <f>$B$37+$B$39+$B$41+$B$43</f>
        <v>167122634.06212837</v>
      </c>
      <c r="E52" s="440">
        <f>$E$72*B52</f>
        <v>0</v>
      </c>
      <c r="F52" s="440">
        <f>D52+E52</f>
        <v>167122634.06212837</v>
      </c>
    </row>
    <row r="53" spans="1:6">
      <c r="A53" s="3"/>
      <c r="B53" s="532">
        <v>0.05</v>
      </c>
      <c r="C53" s="533">
        <f t="shared" ref="C53:C72" si="4">$A$52*B53</f>
        <v>81506250</v>
      </c>
      <c r="D53" s="440">
        <f t="shared" ref="D53:D72" si="5">$B$37+$B$39+$B$41+$B$43</f>
        <v>167122634.06212837</v>
      </c>
      <c r="E53" s="440">
        <f t="shared" ref="E53:E71" si="6">$E$72*B53</f>
        <v>65409201.097146027</v>
      </c>
      <c r="F53" s="440">
        <f t="shared" ref="F53:F72" si="7">D53+E53</f>
        <v>232531835.1592744</v>
      </c>
    </row>
    <row r="54" spans="1:6">
      <c r="A54" s="3"/>
      <c r="B54" s="532">
        <v>0.1</v>
      </c>
      <c r="C54" s="533">
        <f t="shared" si="4"/>
        <v>163012500</v>
      </c>
      <c r="D54" s="440">
        <f t="shared" si="5"/>
        <v>167122634.06212837</v>
      </c>
      <c r="E54" s="440">
        <f t="shared" si="6"/>
        <v>130818402.19429205</v>
      </c>
      <c r="F54" s="440">
        <f t="shared" si="7"/>
        <v>297941036.25642043</v>
      </c>
    </row>
    <row r="55" spans="1:6">
      <c r="A55" s="3"/>
      <c r="B55" s="532">
        <v>0.15</v>
      </c>
      <c r="C55" s="533">
        <f t="shared" si="4"/>
        <v>244518750</v>
      </c>
      <c r="D55" s="440">
        <f t="shared" si="5"/>
        <v>167122634.06212837</v>
      </c>
      <c r="E55" s="440">
        <f t="shared" si="6"/>
        <v>196227603.29143807</v>
      </c>
      <c r="F55" s="440">
        <f t="shared" si="7"/>
        <v>363350237.35356641</v>
      </c>
    </row>
    <row r="56" spans="1:6">
      <c r="A56" s="3"/>
      <c r="B56" s="532">
        <v>0.2</v>
      </c>
      <c r="C56" s="533">
        <f t="shared" si="4"/>
        <v>326025000</v>
      </c>
      <c r="D56" s="440">
        <f t="shared" si="5"/>
        <v>167122634.06212837</v>
      </c>
      <c r="E56" s="440">
        <f t="shared" si="6"/>
        <v>261636804.38858411</v>
      </c>
      <c r="F56" s="440">
        <f>D56+E56</f>
        <v>428759438.45071244</v>
      </c>
    </row>
    <row r="57" spans="1:6">
      <c r="A57" s="3"/>
      <c r="B57" s="532">
        <v>0.25</v>
      </c>
      <c r="C57" s="533">
        <f t="shared" si="4"/>
        <v>407531250</v>
      </c>
      <c r="D57" s="440">
        <f t="shared" si="5"/>
        <v>167122634.06212837</v>
      </c>
      <c r="E57" s="440">
        <f t="shared" si="6"/>
        <v>327046005.48573011</v>
      </c>
      <c r="F57" s="440">
        <f t="shared" si="7"/>
        <v>494168639.54785848</v>
      </c>
    </row>
    <row r="58" spans="1:6">
      <c r="A58" s="3"/>
      <c r="B58" s="532">
        <v>0.3</v>
      </c>
      <c r="C58" s="533">
        <f t="shared" si="4"/>
        <v>489037500</v>
      </c>
      <c r="D58" s="440">
        <f t="shared" si="5"/>
        <v>167122634.06212837</v>
      </c>
      <c r="E58" s="440">
        <f t="shared" si="6"/>
        <v>392455206.58287615</v>
      </c>
      <c r="F58" s="440">
        <f t="shared" si="7"/>
        <v>559577840.64500451</v>
      </c>
    </row>
    <row r="59" spans="1:6">
      <c r="A59" s="3"/>
      <c r="B59" s="532">
        <v>0.35</v>
      </c>
      <c r="C59" s="533">
        <f t="shared" si="4"/>
        <v>570543750</v>
      </c>
      <c r="D59" s="440">
        <f t="shared" si="5"/>
        <v>167122634.06212837</v>
      </c>
      <c r="E59" s="440">
        <f t="shared" si="6"/>
        <v>457864407.68002212</v>
      </c>
      <c r="F59" s="440">
        <f>D59+E59</f>
        <v>624987041.74215055</v>
      </c>
    </row>
    <row r="60" spans="1:6">
      <c r="A60" s="3"/>
      <c r="B60" s="532">
        <v>0.4</v>
      </c>
      <c r="C60" s="533">
        <f t="shared" si="4"/>
        <v>652050000</v>
      </c>
      <c r="D60" s="440">
        <f t="shared" si="5"/>
        <v>167122634.06212837</v>
      </c>
      <c r="E60" s="440">
        <f t="shared" si="6"/>
        <v>523273608.77716821</v>
      </c>
      <c r="F60" s="440">
        <f t="shared" si="7"/>
        <v>690396242.83929658</v>
      </c>
    </row>
    <row r="61" spans="1:6">
      <c r="A61" s="3"/>
      <c r="B61" s="532">
        <v>0.45</v>
      </c>
      <c r="C61" s="533">
        <f t="shared" si="4"/>
        <v>733556250</v>
      </c>
      <c r="D61" s="440">
        <f t="shared" si="5"/>
        <v>167122634.06212837</v>
      </c>
      <c r="E61" s="440">
        <f t="shared" si="6"/>
        <v>588682809.87431419</v>
      </c>
      <c r="F61" s="440">
        <f t="shared" si="7"/>
        <v>755805443.93644261</v>
      </c>
    </row>
    <row r="62" spans="1:6">
      <c r="A62" s="3"/>
      <c r="B62" s="532">
        <v>0.5</v>
      </c>
      <c r="C62" s="533">
        <f t="shared" si="4"/>
        <v>815062500</v>
      </c>
      <c r="D62" s="440">
        <f t="shared" si="5"/>
        <v>167122634.06212837</v>
      </c>
      <c r="E62" s="440">
        <f t="shared" si="6"/>
        <v>654092010.97146022</v>
      </c>
      <c r="F62" s="440">
        <f t="shared" si="7"/>
        <v>821214645.03358865</v>
      </c>
    </row>
    <row r="63" spans="1:6">
      <c r="A63" s="3"/>
      <c r="B63" s="532">
        <v>0.55000000000000004</v>
      </c>
      <c r="C63" s="533">
        <f t="shared" si="4"/>
        <v>896568750.00000012</v>
      </c>
      <c r="D63" s="440">
        <f t="shared" si="5"/>
        <v>167122634.06212837</v>
      </c>
      <c r="E63" s="440">
        <f t="shared" si="6"/>
        <v>719501212.06860626</v>
      </c>
      <c r="F63" s="440">
        <f>D63+E63</f>
        <v>886623846.13073468</v>
      </c>
    </row>
    <row r="64" spans="1:6">
      <c r="A64" s="3"/>
      <c r="B64" s="532">
        <v>0.6</v>
      </c>
      <c r="C64" s="533">
        <f t="shared" si="4"/>
        <v>978075000</v>
      </c>
      <c r="D64" s="440">
        <f t="shared" si="5"/>
        <v>167122634.06212837</v>
      </c>
      <c r="E64" s="440">
        <f t="shared" si="6"/>
        <v>784910413.16575229</v>
      </c>
      <c r="F64" s="440">
        <f t="shared" si="7"/>
        <v>952033047.22788072</v>
      </c>
    </row>
    <row r="65" spans="1:6">
      <c r="A65" s="3"/>
      <c r="B65" s="532">
        <v>0.65</v>
      </c>
      <c r="C65" s="533">
        <f t="shared" si="4"/>
        <v>1059581250</v>
      </c>
      <c r="D65" s="440">
        <f t="shared" si="5"/>
        <v>167122634.06212837</v>
      </c>
      <c r="E65" s="440">
        <f t="shared" si="6"/>
        <v>850319614.26289833</v>
      </c>
      <c r="F65" s="440">
        <f t="shared" si="7"/>
        <v>1017442248.3250268</v>
      </c>
    </row>
    <row r="66" spans="1:6">
      <c r="A66" s="3"/>
      <c r="B66" s="532">
        <v>0.7</v>
      </c>
      <c r="C66" s="533">
        <f t="shared" si="4"/>
        <v>1141087500</v>
      </c>
      <c r="D66" s="440">
        <f t="shared" si="5"/>
        <v>167122634.06212837</v>
      </c>
      <c r="E66" s="440">
        <f t="shared" si="6"/>
        <v>915728815.36004424</v>
      </c>
      <c r="F66" s="440">
        <f t="shared" si="7"/>
        <v>1082851449.4221725</v>
      </c>
    </row>
    <row r="67" spans="1:6">
      <c r="A67" s="3"/>
      <c r="B67" s="532">
        <v>0.75</v>
      </c>
      <c r="C67" s="533">
        <f t="shared" si="4"/>
        <v>1222593750</v>
      </c>
      <c r="D67" s="440">
        <f t="shared" si="5"/>
        <v>167122634.06212837</v>
      </c>
      <c r="E67" s="440">
        <f t="shared" si="6"/>
        <v>981138016.45719028</v>
      </c>
      <c r="F67" s="440">
        <f t="shared" si="7"/>
        <v>1148260650.5193186</v>
      </c>
    </row>
    <row r="68" spans="1:6">
      <c r="A68" s="3"/>
      <c r="B68" s="532">
        <v>0.8</v>
      </c>
      <c r="C68" s="533">
        <f t="shared" si="4"/>
        <v>1304100000</v>
      </c>
      <c r="D68" s="440">
        <f t="shared" si="5"/>
        <v>167122634.06212837</v>
      </c>
      <c r="E68" s="440">
        <f t="shared" si="6"/>
        <v>1046547217.5543364</v>
      </c>
      <c r="F68" s="440">
        <f t="shared" si="7"/>
        <v>1213669851.6164649</v>
      </c>
    </row>
    <row r="69" spans="1:6">
      <c r="A69" s="3"/>
      <c r="B69" s="532">
        <v>0.85</v>
      </c>
      <c r="C69" s="533">
        <f t="shared" si="4"/>
        <v>1385606250</v>
      </c>
      <c r="D69" s="440">
        <f t="shared" si="5"/>
        <v>167122634.06212837</v>
      </c>
      <c r="E69" s="440">
        <f t="shared" si="6"/>
        <v>1111956418.6514823</v>
      </c>
      <c r="F69" s="440">
        <f t="shared" si="7"/>
        <v>1279079052.7136106</v>
      </c>
    </row>
    <row r="70" spans="1:6">
      <c r="A70" s="3"/>
      <c r="B70" s="532">
        <v>0.9</v>
      </c>
      <c r="C70" s="533">
        <f t="shared" si="4"/>
        <v>1467112500</v>
      </c>
      <c r="D70" s="440">
        <f t="shared" si="5"/>
        <v>167122634.06212837</v>
      </c>
      <c r="E70" s="440">
        <f t="shared" si="6"/>
        <v>1177365619.7486284</v>
      </c>
      <c r="F70" s="440">
        <f t="shared" si="7"/>
        <v>1344488253.8107567</v>
      </c>
    </row>
    <row r="71" spans="1:6">
      <c r="A71" s="3"/>
      <c r="B71" s="532">
        <v>0.95</v>
      </c>
      <c r="C71" s="533">
        <f t="shared" si="4"/>
        <v>1548618750</v>
      </c>
      <c r="D71" s="440">
        <f t="shared" si="5"/>
        <v>167122634.06212837</v>
      </c>
      <c r="E71" s="440">
        <f t="shared" si="6"/>
        <v>1242774820.8457744</v>
      </c>
      <c r="F71" s="440">
        <f t="shared" si="7"/>
        <v>1409897454.9079027</v>
      </c>
    </row>
    <row r="72" spans="1:6">
      <c r="A72" s="3"/>
      <c r="B72" s="532">
        <v>1</v>
      </c>
      <c r="C72" s="533">
        <f t="shared" si="4"/>
        <v>1630125000</v>
      </c>
      <c r="D72" s="440">
        <f t="shared" si="5"/>
        <v>167122634.06212837</v>
      </c>
      <c r="E72" s="440">
        <f>$B$38+B40+B42</f>
        <v>1308184021.9429204</v>
      </c>
      <c r="F72" s="440">
        <f t="shared" si="7"/>
        <v>1475306656.0050488</v>
      </c>
    </row>
    <row r="76" spans="1:6" ht="15">
      <c r="A76" s="98" t="s">
        <v>6</v>
      </c>
      <c r="B76" s="3"/>
      <c r="C76" s="3"/>
      <c r="D76" s="3"/>
      <c r="E76" s="3"/>
      <c r="F76" s="3"/>
    </row>
    <row r="77" spans="1:6">
      <c r="A77" s="99" t="s">
        <v>590</v>
      </c>
      <c r="B77" s="531" t="s">
        <v>591</v>
      </c>
      <c r="C77" s="531" t="s">
        <v>592</v>
      </c>
      <c r="D77" s="531" t="s">
        <v>593</v>
      </c>
      <c r="E77" s="531" t="s">
        <v>594</v>
      </c>
      <c r="F77" s="531" t="s">
        <v>595</v>
      </c>
    </row>
    <row r="78" spans="1:6">
      <c r="A78" s="100">
        <f>'E-Costos'!B191</f>
        <v>2282175000</v>
      </c>
      <c r="B78" s="532">
        <v>0</v>
      </c>
      <c r="C78" s="533">
        <f>$A$52*B78</f>
        <v>0</v>
      </c>
      <c r="D78" s="440">
        <f>$F$37+$F$39+$F$41+$F$43</f>
        <v>263004650.02152371</v>
      </c>
      <c r="E78" s="440">
        <f>$E$98*B78</f>
        <v>0</v>
      </c>
      <c r="F78" s="440">
        <f>D78+E78</f>
        <v>263004650.02152371</v>
      </c>
    </row>
    <row r="79" spans="1:6">
      <c r="A79" s="3"/>
      <c r="B79" s="532">
        <v>0.05</v>
      </c>
      <c r="C79" s="533">
        <f t="shared" ref="C79:C98" si="8">$A$52*B79</f>
        <v>81506250</v>
      </c>
      <c r="D79" s="440">
        <f t="shared" ref="D79:D98" si="9">$F$37+$F$39+$F$41+$F$43</f>
        <v>263004650.02152371</v>
      </c>
      <c r="E79" s="440">
        <f t="shared" ref="E79:E96" si="10">$E$98*B79</f>
        <v>61003673.154396027</v>
      </c>
      <c r="F79" s="440">
        <f t="shared" ref="F79:F81" si="11">D79+E79</f>
        <v>324008323.17591977</v>
      </c>
    </row>
    <row r="80" spans="1:6">
      <c r="A80" s="3"/>
      <c r="B80" s="532">
        <v>0.1</v>
      </c>
      <c r="C80" s="533">
        <f t="shared" si="8"/>
        <v>163012500</v>
      </c>
      <c r="D80" s="440">
        <f t="shared" si="9"/>
        <v>263004650.02152371</v>
      </c>
      <c r="E80" s="440">
        <f t="shared" si="10"/>
        <v>122007346.30879205</v>
      </c>
      <c r="F80" s="440">
        <f t="shared" si="11"/>
        <v>385011996.33031577</v>
      </c>
    </row>
    <row r="81" spans="1:6">
      <c r="A81" s="3"/>
      <c r="B81" s="532">
        <v>0.15</v>
      </c>
      <c r="C81" s="533">
        <f t="shared" si="8"/>
        <v>244518750</v>
      </c>
      <c r="D81" s="440">
        <f t="shared" si="9"/>
        <v>263004650.02152371</v>
      </c>
      <c r="E81" s="440">
        <f t="shared" si="10"/>
        <v>183011019.46318805</v>
      </c>
      <c r="F81" s="440">
        <f t="shared" si="11"/>
        <v>446015669.48471177</v>
      </c>
    </row>
    <row r="82" spans="1:6">
      <c r="A82" s="3"/>
      <c r="B82" s="532">
        <v>0.2</v>
      </c>
      <c r="C82" s="533">
        <f t="shared" si="8"/>
        <v>326025000</v>
      </c>
      <c r="D82" s="440">
        <f t="shared" si="9"/>
        <v>263004650.02152371</v>
      </c>
      <c r="E82" s="440">
        <f t="shared" si="10"/>
        <v>244014692.61758411</v>
      </c>
      <c r="F82" s="440">
        <f>D82+E82</f>
        <v>507019342.63910782</v>
      </c>
    </row>
    <row r="83" spans="1:6">
      <c r="A83" s="3"/>
      <c r="B83" s="532">
        <v>0.25</v>
      </c>
      <c r="C83" s="533">
        <f t="shared" si="8"/>
        <v>407531250</v>
      </c>
      <c r="D83" s="440">
        <f t="shared" si="9"/>
        <v>263004650.02152371</v>
      </c>
      <c r="E83" s="440">
        <f t="shared" si="10"/>
        <v>305018365.77198011</v>
      </c>
      <c r="F83" s="440">
        <f t="shared" ref="F83:F84" si="12">D83+E83</f>
        <v>568023015.79350376</v>
      </c>
    </row>
    <row r="84" spans="1:6">
      <c r="A84" s="3"/>
      <c r="B84" s="532">
        <v>0.3</v>
      </c>
      <c r="C84" s="533">
        <f t="shared" si="8"/>
        <v>489037500</v>
      </c>
      <c r="D84" s="440">
        <f t="shared" si="9"/>
        <v>263004650.02152371</v>
      </c>
      <c r="E84" s="440">
        <f t="shared" si="10"/>
        <v>366022038.9263761</v>
      </c>
      <c r="F84" s="440">
        <f t="shared" si="12"/>
        <v>629026688.94789982</v>
      </c>
    </row>
    <row r="85" spans="1:6">
      <c r="A85" s="3"/>
      <c r="B85" s="532">
        <v>0.35</v>
      </c>
      <c r="C85" s="533">
        <f t="shared" si="8"/>
        <v>570543750</v>
      </c>
      <c r="D85" s="440">
        <f t="shared" si="9"/>
        <v>263004650.02152371</v>
      </c>
      <c r="E85" s="440">
        <f t="shared" si="10"/>
        <v>427025712.0807721</v>
      </c>
      <c r="F85" s="440">
        <f>D85+E85</f>
        <v>690030362.10229588</v>
      </c>
    </row>
    <row r="86" spans="1:6">
      <c r="A86" s="3"/>
      <c r="B86" s="532">
        <v>0.4</v>
      </c>
      <c r="C86" s="533">
        <f t="shared" si="8"/>
        <v>652050000</v>
      </c>
      <c r="D86" s="440">
        <f t="shared" si="9"/>
        <v>263004650.02152371</v>
      </c>
      <c r="E86" s="440">
        <f t="shared" si="10"/>
        <v>488029385.23516822</v>
      </c>
      <c r="F86" s="440">
        <f t="shared" ref="F86:F88" si="13">D86+E86</f>
        <v>751034035.25669193</v>
      </c>
    </row>
    <row r="87" spans="1:6">
      <c r="A87" s="3"/>
      <c r="B87" s="532">
        <v>0.45</v>
      </c>
      <c r="C87" s="533">
        <f t="shared" si="8"/>
        <v>733556250</v>
      </c>
      <c r="D87" s="440">
        <f t="shared" si="9"/>
        <v>263004650.02152371</v>
      </c>
      <c r="E87" s="440">
        <f t="shared" si="10"/>
        <v>549033058.38956416</v>
      </c>
      <c r="F87" s="440">
        <f t="shared" si="13"/>
        <v>812037708.41108787</v>
      </c>
    </row>
    <row r="88" spans="1:6">
      <c r="A88" s="3"/>
      <c r="B88" s="532">
        <v>0.5</v>
      </c>
      <c r="C88" s="533">
        <f t="shared" si="8"/>
        <v>815062500</v>
      </c>
      <c r="D88" s="440">
        <f t="shared" si="9"/>
        <v>263004650.02152371</v>
      </c>
      <c r="E88" s="440">
        <f t="shared" si="10"/>
        <v>610036731.54396021</v>
      </c>
      <c r="F88" s="440">
        <f t="shared" si="13"/>
        <v>873041381.56548393</v>
      </c>
    </row>
    <row r="89" spans="1:6">
      <c r="A89" s="3"/>
      <c r="B89" s="532">
        <v>0.55000000000000004</v>
      </c>
      <c r="C89" s="533">
        <f t="shared" si="8"/>
        <v>896568750.00000012</v>
      </c>
      <c r="D89" s="440">
        <f t="shared" si="9"/>
        <v>263004650.02152371</v>
      </c>
      <c r="E89" s="440">
        <f t="shared" si="10"/>
        <v>671040404.69835627</v>
      </c>
      <c r="F89" s="440">
        <f>D89+E89</f>
        <v>934045054.71987998</v>
      </c>
    </row>
    <row r="90" spans="1:6">
      <c r="A90" s="3"/>
      <c r="B90" s="532">
        <v>0.6</v>
      </c>
      <c r="C90" s="533">
        <f t="shared" si="8"/>
        <v>978075000</v>
      </c>
      <c r="D90" s="440">
        <f t="shared" si="9"/>
        <v>263004650.02152371</v>
      </c>
      <c r="E90" s="440">
        <f t="shared" si="10"/>
        <v>732044077.85275221</v>
      </c>
      <c r="F90" s="440">
        <f t="shared" ref="F90:F98" si="14">D90+E90</f>
        <v>995048727.87427592</v>
      </c>
    </row>
    <row r="91" spans="1:6">
      <c r="A91" s="3"/>
      <c r="B91" s="532">
        <v>0.65</v>
      </c>
      <c r="C91" s="533">
        <f t="shared" si="8"/>
        <v>1059581250</v>
      </c>
      <c r="D91" s="440">
        <f t="shared" si="9"/>
        <v>263004650.02152371</v>
      </c>
      <c r="E91" s="440">
        <f t="shared" si="10"/>
        <v>793047751.00714827</v>
      </c>
      <c r="F91" s="440">
        <f t="shared" si="14"/>
        <v>1056052401.028672</v>
      </c>
    </row>
    <row r="92" spans="1:6">
      <c r="A92" s="3"/>
      <c r="B92" s="532">
        <v>0.7</v>
      </c>
      <c r="C92" s="533">
        <f t="shared" si="8"/>
        <v>1141087500</v>
      </c>
      <c r="D92" s="440">
        <f t="shared" si="9"/>
        <v>263004650.02152371</v>
      </c>
      <c r="E92" s="440">
        <f t="shared" si="10"/>
        <v>854051424.1615442</v>
      </c>
      <c r="F92" s="440">
        <f t="shared" si="14"/>
        <v>1117056074.1830678</v>
      </c>
    </row>
    <row r="93" spans="1:6">
      <c r="A93" s="3"/>
      <c r="B93" s="532">
        <v>0.75</v>
      </c>
      <c r="C93" s="533">
        <f t="shared" si="8"/>
        <v>1222593750</v>
      </c>
      <c r="D93" s="440">
        <f t="shared" si="9"/>
        <v>263004650.02152371</v>
      </c>
      <c r="E93" s="440">
        <f t="shared" si="10"/>
        <v>915055097.31594038</v>
      </c>
      <c r="F93" s="440">
        <f t="shared" si="14"/>
        <v>1178059747.3374641</v>
      </c>
    </row>
    <row r="94" spans="1:6">
      <c r="A94" s="3"/>
      <c r="B94" s="532">
        <v>0.8</v>
      </c>
      <c r="C94" s="533">
        <f t="shared" si="8"/>
        <v>1304100000</v>
      </c>
      <c r="D94" s="440">
        <f t="shared" si="9"/>
        <v>263004650.02152371</v>
      </c>
      <c r="E94" s="440">
        <f t="shared" si="10"/>
        <v>976058770.47033644</v>
      </c>
      <c r="F94" s="440">
        <f t="shared" si="14"/>
        <v>1239063420.4918602</v>
      </c>
    </row>
    <row r="95" spans="1:6">
      <c r="A95" s="3"/>
      <c r="B95" s="532">
        <v>0.85</v>
      </c>
      <c r="C95" s="533">
        <f t="shared" si="8"/>
        <v>1385606250</v>
      </c>
      <c r="D95" s="440">
        <f t="shared" si="9"/>
        <v>263004650.02152371</v>
      </c>
      <c r="E95" s="440">
        <f t="shared" si="10"/>
        <v>1037062443.6247324</v>
      </c>
      <c r="F95" s="440">
        <f t="shared" si="14"/>
        <v>1300067093.646256</v>
      </c>
    </row>
    <row r="96" spans="1:6">
      <c r="A96" s="3"/>
      <c r="B96" s="532">
        <v>0.9</v>
      </c>
      <c r="C96" s="533">
        <f t="shared" si="8"/>
        <v>1467112500</v>
      </c>
      <c r="D96" s="440">
        <f t="shared" si="9"/>
        <v>263004650.02152371</v>
      </c>
      <c r="E96" s="440">
        <f t="shared" si="10"/>
        <v>1098066116.7791283</v>
      </c>
      <c r="F96" s="440">
        <f t="shared" si="14"/>
        <v>1361070766.800652</v>
      </c>
    </row>
    <row r="97" spans="1:6">
      <c r="A97" s="3"/>
      <c r="B97" s="532">
        <v>0.95</v>
      </c>
      <c r="C97" s="533">
        <f t="shared" si="8"/>
        <v>1548618750</v>
      </c>
      <c r="D97" s="440">
        <f t="shared" si="9"/>
        <v>263004650.02152371</v>
      </c>
      <c r="E97" s="440">
        <f>$E$98*B97</f>
        <v>1159069789.9335244</v>
      </c>
      <c r="F97" s="440">
        <f t="shared" si="14"/>
        <v>1422074439.9550481</v>
      </c>
    </row>
    <row r="98" spans="1:6">
      <c r="A98" s="3"/>
      <c r="B98" s="532">
        <v>1</v>
      </c>
      <c r="C98" s="533">
        <f t="shared" si="8"/>
        <v>1630125000</v>
      </c>
      <c r="D98" s="440">
        <f t="shared" si="9"/>
        <v>263004650.02152371</v>
      </c>
      <c r="E98" s="440">
        <f>$F$38+$F$40+$F$42</f>
        <v>1220073463.0879204</v>
      </c>
      <c r="F98" s="440">
        <f t="shared" si="14"/>
        <v>1483078113.1094441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9F67-FC2A-467F-B662-CA7FCF0D4472}">
  <sheetPr>
    <tabColor rgb="FFFFFF00"/>
  </sheetPr>
  <dimension ref="A1:G21"/>
  <sheetViews>
    <sheetView topLeftCell="A11" workbookViewId="0">
      <selection activeCell="C19" sqref="C19"/>
    </sheetView>
  </sheetViews>
  <sheetFormatPr baseColWidth="10" defaultColWidth="8.85546875" defaultRowHeight="12.75"/>
  <cols>
    <col min="1" max="1" width="70.42578125" customWidth="1"/>
    <col min="2" max="2" width="20.5703125" customWidth="1"/>
    <col min="3" max="7" width="16.7109375" bestFit="1" customWidth="1"/>
  </cols>
  <sheetData>
    <row r="1" spans="1:7">
      <c r="A1" s="158" t="s">
        <v>56</v>
      </c>
      <c r="B1" s="158"/>
      <c r="C1" s="158"/>
      <c r="D1" s="158"/>
      <c r="E1" s="158">
        <v>9</v>
      </c>
      <c r="F1" s="158"/>
      <c r="G1" s="158"/>
    </row>
    <row r="2" spans="1:7" ht="15.75">
      <c r="A2" s="608" t="s">
        <v>629</v>
      </c>
      <c r="B2" s="608"/>
      <c r="C2" s="610"/>
      <c r="D2" s="610"/>
      <c r="E2" s="610"/>
      <c r="F2" s="610" t="s">
        <v>200</v>
      </c>
      <c r="G2" s="592" t="s">
        <v>200</v>
      </c>
    </row>
    <row r="3" spans="1:7" ht="15.75">
      <c r="A3" s="642" t="s">
        <v>200</v>
      </c>
      <c r="B3" s="1068" t="s">
        <v>630</v>
      </c>
      <c r="C3" s="1068"/>
      <c r="D3" s="1068"/>
      <c r="E3" s="1068"/>
      <c r="F3" s="1068"/>
      <c r="G3" s="1069"/>
    </row>
    <row r="4" spans="1:7">
      <c r="A4" s="599" t="s">
        <v>444</v>
      </c>
      <c r="B4" s="643" t="s">
        <v>14</v>
      </c>
      <c r="C4" s="593" t="s">
        <v>2</v>
      </c>
      <c r="D4" s="593" t="s">
        <v>3</v>
      </c>
      <c r="E4" s="593" t="s">
        <v>4</v>
      </c>
      <c r="F4" s="593" t="s">
        <v>5</v>
      </c>
      <c r="G4" s="594" t="s">
        <v>6</v>
      </c>
    </row>
    <row r="5" spans="1:7">
      <c r="A5" s="644" t="s">
        <v>961</v>
      </c>
      <c r="B5" s="653" t="s">
        <v>200</v>
      </c>
      <c r="C5" s="456" t="s">
        <v>200</v>
      </c>
      <c r="D5" s="456" t="s">
        <v>200</v>
      </c>
      <c r="E5" s="456" t="s">
        <v>200</v>
      </c>
      <c r="F5" s="456" t="s">
        <v>200</v>
      </c>
      <c r="G5" s="473" t="s">
        <v>200</v>
      </c>
    </row>
    <row r="6" spans="1:7">
      <c r="A6" s="645" t="s">
        <v>962</v>
      </c>
      <c r="B6" s="654" t="s">
        <v>963</v>
      </c>
      <c r="C6" s="620">
        <f>'E-IVA '!C17</f>
        <v>239925747.85993332</v>
      </c>
      <c r="D6" s="620">
        <f>'E-IVA '!D17</f>
        <v>242425983.51507559</v>
      </c>
      <c r="E6" s="620">
        <f>'E-IVA '!E17</f>
        <v>241244578.74427879</v>
      </c>
      <c r="F6" s="620">
        <f>'E-IVA '!F17</f>
        <v>241244578.74427879</v>
      </c>
      <c r="G6" s="657">
        <f>'E-IVA '!G17</f>
        <v>241244578.74427879</v>
      </c>
    </row>
    <row r="7" spans="1:7">
      <c r="A7" s="645" t="s">
        <v>964</v>
      </c>
      <c r="B7" s="654" t="s">
        <v>963</v>
      </c>
      <c r="C7" s="620">
        <f>'E-IVA '!C18</f>
        <v>327772.02039640525</v>
      </c>
      <c r="D7" s="620">
        <f>'E-IVA '!D18</f>
        <v>314587.19139640528</v>
      </c>
      <c r="E7" s="620">
        <f>'E-IVA '!E18</f>
        <v>314587.19139640528</v>
      </c>
      <c r="F7" s="620">
        <f>'E-IVA '!F18</f>
        <v>314587.19139640528</v>
      </c>
      <c r="G7" s="657">
        <f>'E-IVA '!G18</f>
        <v>314587.19139640528</v>
      </c>
    </row>
    <row r="8" spans="1:7">
      <c r="A8" s="645" t="s">
        <v>965</v>
      </c>
      <c r="B8" s="654" t="s">
        <v>963</v>
      </c>
      <c r="C8" s="620">
        <f>'E-IVA '!C19</f>
        <v>1094993.4554392311</v>
      </c>
      <c r="D8" s="620">
        <f>'E-IVA '!D19</f>
        <v>1081808.6264392312</v>
      </c>
      <c r="E8" s="620">
        <f>'E-IVA '!E19</f>
        <v>1081808.6264392312</v>
      </c>
      <c r="F8" s="620">
        <f>'E-IVA '!F19</f>
        <v>1081808.6264392312</v>
      </c>
      <c r="G8" s="657">
        <f>'E-IVA '!G19</f>
        <v>1081808.6264392312</v>
      </c>
    </row>
    <row r="9" spans="1:7">
      <c r="A9" s="645" t="s">
        <v>966</v>
      </c>
      <c r="B9" s="654" t="s">
        <v>200</v>
      </c>
      <c r="C9" s="620">
        <f>'F-2 Estructura'!B43*InfoInicial!$B$3</f>
        <v>7224011.1458769804</v>
      </c>
      <c r="D9" s="620">
        <f>'F-2 Estructura'!C43*InfoInicial!$B$3</f>
        <v>5610768.3188769799</v>
      </c>
      <c r="E9" s="620">
        <f>'F-2 Estructura'!D43*InfoInicial!$B$3</f>
        <v>2986848.1941769794</v>
      </c>
      <c r="F9" s="620">
        <f>'F-2 Estructura'!E43*InfoInicial!$B$3</f>
        <v>1373605.36717698</v>
      </c>
      <c r="G9" s="620">
        <f>'F-2 Estructura'!F43*InfoInicial!$B$3</f>
        <v>23278348.3968</v>
      </c>
    </row>
    <row r="10" spans="1:7">
      <c r="A10" s="646" t="s">
        <v>967</v>
      </c>
      <c r="B10" s="655" t="s">
        <v>963</v>
      </c>
      <c r="C10" s="620">
        <f>SUM(C6:C9)</f>
        <v>248572524.48164594</v>
      </c>
      <c r="D10" s="620">
        <f t="shared" ref="D10:G10" si="0">SUM(D6:D9)</f>
        <v>249433147.65178823</v>
      </c>
      <c r="E10" s="620">
        <f t="shared" si="0"/>
        <v>245627822.75629142</v>
      </c>
      <c r="F10" s="620">
        <f t="shared" si="0"/>
        <v>244014579.92929143</v>
      </c>
      <c r="G10" s="657">
        <f t="shared" si="0"/>
        <v>265919322.95891446</v>
      </c>
    </row>
    <row r="11" spans="1:7">
      <c r="A11" s="646" t="s">
        <v>200</v>
      </c>
      <c r="B11" s="655" t="s">
        <v>200</v>
      </c>
      <c r="C11" s="456" t="s">
        <v>200</v>
      </c>
      <c r="D11" s="456" t="s">
        <v>200</v>
      </c>
      <c r="E11" s="456" t="s">
        <v>200</v>
      </c>
      <c r="F11" s="456" t="s">
        <v>200</v>
      </c>
      <c r="G11" s="473" t="s">
        <v>200</v>
      </c>
    </row>
    <row r="12" spans="1:7">
      <c r="A12" s="645" t="s">
        <v>642</v>
      </c>
      <c r="B12" s="655" t="s">
        <v>963</v>
      </c>
      <c r="C12" s="908">
        <f>+C10</f>
        <v>248572524.48164594</v>
      </c>
      <c r="D12" s="908">
        <f>+D10</f>
        <v>249433147.65178823</v>
      </c>
      <c r="E12" s="908">
        <f t="shared" ref="E12:G12" si="1">+E10</f>
        <v>245627822.75629142</v>
      </c>
      <c r="F12" s="908">
        <f t="shared" si="1"/>
        <v>244014579.92929143</v>
      </c>
      <c r="G12" s="909">
        <f t="shared" si="1"/>
        <v>265919322.95891446</v>
      </c>
    </row>
    <row r="13" spans="1:7">
      <c r="A13" s="645" t="s">
        <v>643</v>
      </c>
      <c r="B13" s="655" t="s">
        <v>200</v>
      </c>
      <c r="C13" s="908">
        <f>'E-IVA '!C22</f>
        <v>342326250</v>
      </c>
      <c r="D13" s="908">
        <f>'E-IVA '!D22</f>
        <v>479256750</v>
      </c>
      <c r="E13" s="908">
        <f>'E-IVA '!E22</f>
        <v>479256750</v>
      </c>
      <c r="F13" s="908">
        <f>'E-IVA '!F22</f>
        <v>479256750</v>
      </c>
      <c r="G13" s="908">
        <f>'E-IVA '!G22</f>
        <v>479256750</v>
      </c>
    </row>
    <row r="14" spans="1:7">
      <c r="A14" s="646" t="s">
        <v>968</v>
      </c>
      <c r="B14" s="655" t="s">
        <v>200</v>
      </c>
      <c r="C14" s="908">
        <f>C13-C12</f>
        <v>93753725.518354058</v>
      </c>
      <c r="D14" s="908">
        <f t="shared" ref="D14:F14" si="2">D13-D12</f>
        <v>229823602.34821177</v>
      </c>
      <c r="E14" s="908">
        <f t="shared" si="2"/>
        <v>233628927.24370858</v>
      </c>
      <c r="F14" s="908">
        <f t="shared" si="2"/>
        <v>235242170.07070857</v>
      </c>
      <c r="G14" s="909">
        <f>G13-G12</f>
        <v>213337427.04108554</v>
      </c>
    </row>
    <row r="15" spans="1:7">
      <c r="A15" s="645" t="s">
        <v>200</v>
      </c>
      <c r="B15" s="655" t="s">
        <v>200</v>
      </c>
      <c r="C15" s="855" t="s">
        <v>200</v>
      </c>
      <c r="D15" s="855" t="s">
        <v>200</v>
      </c>
      <c r="E15" s="855" t="s">
        <v>200</v>
      </c>
      <c r="F15" s="855" t="s">
        <v>200</v>
      </c>
      <c r="G15" s="856" t="s">
        <v>200</v>
      </c>
    </row>
    <row r="16" spans="1:7">
      <c r="A16" s="646" t="s">
        <v>969</v>
      </c>
      <c r="B16" s="620">
        <f>'E-IVA '!B25</f>
        <v>0</v>
      </c>
      <c r="C16" s="916">
        <f>B18</f>
        <v>64478120.140919097</v>
      </c>
      <c r="D16" s="916">
        <f t="shared" ref="D16:G16" si="3">C18</f>
        <v>50522096.055201292</v>
      </c>
      <c r="E16" s="916">
        <f t="shared" si="3"/>
        <v>0</v>
      </c>
      <c r="F16" s="916">
        <f t="shared" si="3"/>
        <v>0</v>
      </c>
      <c r="G16" s="916">
        <f t="shared" si="3"/>
        <v>0</v>
      </c>
    </row>
    <row r="17" spans="1:7" s="915" customFormat="1">
      <c r="A17" s="914" t="s">
        <v>970</v>
      </c>
      <c r="B17" s="908">
        <f>'F-2 Estructura'!B33</f>
        <v>64478120.140919097</v>
      </c>
      <c r="C17" s="908">
        <f>'F-2 Estructura'!C33</f>
        <v>79797701.432636261</v>
      </c>
      <c r="D17" s="908">
        <f>'E-Cal Inv.'!E23</f>
        <v>13953987.884408584</v>
      </c>
      <c r="E17" s="908">
        <f>'E-Cal Inv.'!F23</f>
        <v>-213.05179196764715</v>
      </c>
      <c r="F17" s="908">
        <f>'E-Cal Inv.'!G23</f>
        <v>0</v>
      </c>
      <c r="G17" s="908">
        <f>'E-Cal Inv.'!H23</f>
        <v>0</v>
      </c>
    </row>
    <row r="18" spans="1:7">
      <c r="A18" s="646" t="s">
        <v>971</v>
      </c>
      <c r="B18" s="908">
        <f>B17</f>
        <v>64478120.140919097</v>
      </c>
      <c r="C18" s="908">
        <f>IF(C14&lt;SUM(C16:C17),SUM(C16:C17)-C14,0)</f>
        <v>50522096.055201292</v>
      </c>
      <c r="D18" s="908">
        <f>IF(D14&lt;SUM(D16:D17),SUM(D16:D17)-D14,0)</f>
        <v>0</v>
      </c>
      <c r="E18" s="908">
        <f t="shared" ref="E18:G18" si="4">IF(E14&lt;SUM(E16:E17),SUM(E16:E17)-E14,0)</f>
        <v>0</v>
      </c>
      <c r="F18" s="908">
        <f t="shared" si="4"/>
        <v>0</v>
      </c>
      <c r="G18" s="908">
        <f t="shared" si="4"/>
        <v>0</v>
      </c>
    </row>
    <row r="19" spans="1:7" s="915" customFormat="1">
      <c r="A19" s="914" t="s">
        <v>972</v>
      </c>
      <c r="B19" s="901">
        <f>B18-B17</f>
        <v>0</v>
      </c>
      <c r="C19" s="901">
        <f>+C16+C17-C18</f>
        <v>93753725.518354058</v>
      </c>
      <c r="D19" s="901">
        <f>+D16+D17-D18</f>
        <v>64476083.939609878</v>
      </c>
      <c r="E19" s="901">
        <f>+E16+E17-E18</f>
        <v>-213.05179196764715</v>
      </c>
      <c r="F19" s="901">
        <f t="shared" ref="F19:G19" si="5">+F16+F17-F18</f>
        <v>0</v>
      </c>
      <c r="G19" s="901">
        <f t="shared" si="5"/>
        <v>0</v>
      </c>
    </row>
    <row r="20" spans="1:7">
      <c r="A20" s="645" t="s">
        <v>200</v>
      </c>
      <c r="B20" s="456" t="s">
        <v>200</v>
      </c>
      <c r="C20" s="456" t="s">
        <v>200</v>
      </c>
      <c r="D20" s="456" t="s">
        <v>200</v>
      </c>
      <c r="E20" s="456" t="s">
        <v>200</v>
      </c>
      <c r="F20" s="456" t="s">
        <v>200</v>
      </c>
      <c r="G20" s="473" t="s">
        <v>200</v>
      </c>
    </row>
    <row r="21" spans="1:7">
      <c r="A21" s="647" t="s">
        <v>649</v>
      </c>
      <c r="B21" s="917">
        <v>0</v>
      </c>
      <c r="C21" s="917">
        <f>C14-C19</f>
        <v>0</v>
      </c>
      <c r="D21" s="917">
        <f t="shared" ref="D21:G21" si="6">D14-D19</f>
        <v>165347518.40860188</v>
      </c>
      <c r="E21" s="917">
        <f t="shared" si="6"/>
        <v>233629140.29550055</v>
      </c>
      <c r="F21" s="917">
        <f>F14-F19</f>
        <v>235242170.07070857</v>
      </c>
      <c r="G21" s="917">
        <f t="shared" si="6"/>
        <v>213337427.04108554</v>
      </c>
    </row>
  </sheetData>
  <mergeCells count="1">
    <mergeCell ref="B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26F-D2F6-47A5-8292-D37710601101}">
  <sheetPr>
    <tabColor rgb="FFFFFF00"/>
  </sheetPr>
  <dimension ref="A1:L34"/>
  <sheetViews>
    <sheetView workbookViewId="0">
      <selection activeCell="C26" sqref="C26"/>
    </sheetView>
  </sheetViews>
  <sheetFormatPr baseColWidth="10" defaultColWidth="8.85546875" defaultRowHeight="12.75"/>
  <cols>
    <col min="1" max="1" width="52.42578125" customWidth="1"/>
    <col min="2" max="2" width="16.7109375" bestFit="1" customWidth="1"/>
    <col min="3" max="7" width="18.42578125" bestFit="1" customWidth="1"/>
    <col min="8" max="8" width="19.5703125" bestFit="1" customWidth="1"/>
    <col min="11" max="11" width="4.85546875" customWidth="1"/>
    <col min="12" max="12" width="19.28515625" customWidth="1"/>
  </cols>
  <sheetData>
    <row r="1" spans="1:8">
      <c r="A1" s="586" t="s">
        <v>56</v>
      </c>
      <c r="B1" s="587"/>
      <c r="C1" s="587"/>
      <c r="D1" s="587"/>
      <c r="E1" s="606">
        <v>9</v>
      </c>
      <c r="F1" s="158"/>
      <c r="G1" s="158"/>
      <c r="H1" s="158"/>
    </row>
    <row r="2" spans="1:8">
      <c r="A2" s="158"/>
      <c r="B2" s="158"/>
      <c r="C2" s="158"/>
      <c r="D2" s="158"/>
      <c r="E2" s="158"/>
      <c r="F2" s="158"/>
      <c r="G2" s="158"/>
      <c r="H2" s="158"/>
    </row>
    <row r="3" spans="1:8" ht="15.75">
      <c r="A3" s="590" t="s">
        <v>973</v>
      </c>
      <c r="B3" s="591" t="s">
        <v>200</v>
      </c>
      <c r="C3" s="591" t="s">
        <v>200</v>
      </c>
      <c r="D3" s="591" t="s">
        <v>200</v>
      </c>
      <c r="E3" s="591" t="s">
        <v>200</v>
      </c>
      <c r="F3" s="591" t="s">
        <v>200</v>
      </c>
      <c r="G3" s="610" t="s">
        <v>200</v>
      </c>
      <c r="H3" s="684" t="s">
        <v>200</v>
      </c>
    </row>
    <row r="4" spans="1:8">
      <c r="A4" s="455" t="s">
        <v>200</v>
      </c>
      <c r="B4" s="479" t="s">
        <v>14</v>
      </c>
      <c r="C4" s="479" t="s">
        <v>2</v>
      </c>
      <c r="D4" s="479" t="s">
        <v>3</v>
      </c>
      <c r="E4" s="479" t="s">
        <v>4</v>
      </c>
      <c r="F4" s="479" t="s">
        <v>5</v>
      </c>
      <c r="G4" s="685" t="s">
        <v>6</v>
      </c>
      <c r="H4" s="627" t="s">
        <v>595</v>
      </c>
    </row>
    <row r="5" spans="1:8">
      <c r="A5" s="595" t="s">
        <v>974</v>
      </c>
      <c r="B5" s="613" t="s">
        <v>200</v>
      </c>
      <c r="C5" s="456" t="s">
        <v>200</v>
      </c>
      <c r="D5" s="456" t="s">
        <v>200</v>
      </c>
      <c r="E5" s="456" t="s">
        <v>200</v>
      </c>
      <c r="F5" s="456" t="s">
        <v>200</v>
      </c>
      <c r="G5" s="614" t="s">
        <v>200</v>
      </c>
      <c r="H5" s="615" t="s">
        <v>200</v>
      </c>
    </row>
    <row r="6" spans="1:8">
      <c r="A6" s="158" t="s">
        <v>975</v>
      </c>
      <c r="B6" s="619" t="s">
        <v>200</v>
      </c>
      <c r="C6" s="620">
        <f>B29</f>
        <v>0</v>
      </c>
      <c r="D6" s="620">
        <f>C29</f>
        <v>269342857.3755824</v>
      </c>
      <c r="E6" s="620">
        <f t="shared" ref="E6" si="0">D29</f>
        <v>828470982.80658507</v>
      </c>
      <c r="F6" s="620">
        <f>E29</f>
        <v>1410401137.0500002</v>
      </c>
      <c r="G6" s="620">
        <f>F29</f>
        <v>1991973739.1991651</v>
      </c>
      <c r="H6" s="622">
        <f>SUM(C6:G6)</f>
        <v>4500188716.4313326</v>
      </c>
    </row>
    <row r="7" spans="1:8">
      <c r="A7" s="158" t="s">
        <v>976</v>
      </c>
      <c r="B7" s="619">
        <f>'F-2 Estructura'!B31</f>
        <v>320215100.57862908</v>
      </c>
      <c r="C7" s="619">
        <f>'F-2 Estructura'!C31</f>
        <v>458445310.11863756</v>
      </c>
      <c r="D7" s="696" t="s">
        <v>977</v>
      </c>
      <c r="E7" s="697" t="s">
        <v>977</v>
      </c>
      <c r="F7" s="697" t="s">
        <v>977</v>
      </c>
      <c r="G7" s="697" t="s">
        <v>977</v>
      </c>
      <c r="H7" s="622">
        <f>SUM(B7:G7)</f>
        <v>778660410.69726658</v>
      </c>
    </row>
    <row r="8" spans="1:8">
      <c r="A8" s="158" t="s">
        <v>978</v>
      </c>
      <c r="B8" s="619">
        <f>'F-2 Estructura'!B29</f>
        <v>0</v>
      </c>
      <c r="C8" s="619">
        <f>'F-2 Estructura'!C29</f>
        <v>799561.28871666663</v>
      </c>
      <c r="D8" s="696" t="s">
        <v>977</v>
      </c>
      <c r="E8" s="697" t="s">
        <v>977</v>
      </c>
      <c r="F8" s="697" t="s">
        <v>977</v>
      </c>
      <c r="G8" s="697" t="s">
        <v>977</v>
      </c>
      <c r="H8" s="622">
        <f t="shared" ref="H8:H11" si="1">SUM(B8:G8)</f>
        <v>799561.28871666663</v>
      </c>
    </row>
    <row r="9" spans="1:8">
      <c r="A9" s="158" t="s">
        <v>979</v>
      </c>
      <c r="B9" s="619">
        <f>'F-2 Estructura'!B30</f>
        <v>54491087.000000007</v>
      </c>
      <c r="C9" s="619">
        <f>'F-2 Estructura'!C30</f>
        <v>0</v>
      </c>
      <c r="D9" s="696" t="s">
        <v>977</v>
      </c>
      <c r="E9" s="697" t="s">
        <v>977</v>
      </c>
      <c r="F9" s="697" t="s">
        <v>977</v>
      </c>
      <c r="G9" s="697" t="s">
        <v>977</v>
      </c>
      <c r="H9" s="622">
        <f t="shared" si="1"/>
        <v>54491087.000000007</v>
      </c>
    </row>
    <row r="10" spans="1:8">
      <c r="A10" s="158" t="s">
        <v>980</v>
      </c>
      <c r="B10" s="659" t="s">
        <v>977</v>
      </c>
      <c r="C10" s="620">
        <f>'F-CRes'!B4</f>
        <v>1630125000</v>
      </c>
      <c r="D10" s="620">
        <f>'F-CRes'!C4</f>
        <v>2282175000</v>
      </c>
      <c r="E10" s="620">
        <f>'F-CRes'!D4</f>
        <v>2282175000</v>
      </c>
      <c r="F10" s="620">
        <f>'F-CRes'!E4</f>
        <v>2282175000</v>
      </c>
      <c r="G10" s="620">
        <f>'F-CRes'!F4</f>
        <v>2282175000</v>
      </c>
      <c r="H10" s="622">
        <f t="shared" si="1"/>
        <v>10758825000</v>
      </c>
    </row>
    <row r="11" spans="1:8">
      <c r="A11" s="158" t="s">
        <v>981</v>
      </c>
      <c r="B11" s="659" t="s">
        <v>977</v>
      </c>
      <c r="C11" s="620">
        <f>'F-IVA'!C19</f>
        <v>93753725.518354058</v>
      </c>
      <c r="D11" s="620">
        <f>'F-IVA'!D19</f>
        <v>64476083.939609878</v>
      </c>
      <c r="E11" s="620">
        <f>'F-IVA'!E19</f>
        <v>-213.05179196764715</v>
      </c>
      <c r="F11" s="620">
        <f>'F-IVA'!F19</f>
        <v>0</v>
      </c>
      <c r="G11" s="620">
        <f>'F-IVA'!G19</f>
        <v>0</v>
      </c>
      <c r="H11" s="622">
        <f t="shared" si="1"/>
        <v>158229596.40617198</v>
      </c>
    </row>
    <row r="12" spans="1:8">
      <c r="A12" s="624" t="s">
        <v>595</v>
      </c>
      <c r="B12" s="705">
        <f>SUM(B6:B11)</f>
        <v>374706187.57862908</v>
      </c>
      <c r="C12" s="705">
        <f t="shared" ref="C12:H12" si="2">SUM(C6:C11)</f>
        <v>2183123596.9257083</v>
      </c>
      <c r="D12" s="705">
        <f t="shared" si="2"/>
        <v>2615993941.3151922</v>
      </c>
      <c r="E12" s="705">
        <f t="shared" si="2"/>
        <v>3110645769.7547932</v>
      </c>
      <c r="F12" s="705">
        <f t="shared" si="2"/>
        <v>3692576137.0500002</v>
      </c>
      <c r="G12" s="705">
        <f t="shared" si="2"/>
        <v>4274148739.1991653</v>
      </c>
      <c r="H12" s="705">
        <f t="shared" si="2"/>
        <v>16251194371.823488</v>
      </c>
    </row>
    <row r="13" spans="1:8">
      <c r="A13" s="698" t="s">
        <v>200</v>
      </c>
      <c r="B13" s="656"/>
      <c r="C13" s="655"/>
      <c r="D13" s="655"/>
      <c r="E13" s="655"/>
      <c r="F13" s="655"/>
      <c r="G13" s="699"/>
      <c r="H13" s="700"/>
    </row>
    <row r="14" spans="1:8">
      <c r="A14" s="698" t="s">
        <v>982</v>
      </c>
      <c r="B14" s="656"/>
      <c r="C14" s="655"/>
      <c r="D14" s="655"/>
      <c r="E14" s="655"/>
      <c r="F14" s="655"/>
      <c r="G14" s="699"/>
      <c r="H14" s="700"/>
    </row>
    <row r="15" spans="1:8">
      <c r="A15" s="625" t="s">
        <v>983</v>
      </c>
      <c r="B15" s="656">
        <f>'F-2 Estructura'!B8</f>
        <v>306660393.89125001</v>
      </c>
      <c r="C15" s="656">
        <f>'F-2 Estructura'!C8</f>
        <v>169077445.80204773</v>
      </c>
      <c r="D15" s="659" t="s">
        <v>977</v>
      </c>
      <c r="E15" s="653" t="s">
        <v>977</v>
      </c>
      <c r="F15" s="653" t="s">
        <v>977</v>
      </c>
      <c r="G15" s="653" t="s">
        <v>977</v>
      </c>
      <c r="H15" s="839">
        <f>SUM(B15:G15)</f>
        <v>475737839.69329774</v>
      </c>
    </row>
    <row r="16" spans="1:8">
      <c r="A16" s="625" t="s">
        <v>883</v>
      </c>
      <c r="B16" s="708">
        <f>'E-InvAT'!B24</f>
        <v>3567673.5464599999</v>
      </c>
      <c r="C16" s="708">
        <f>'E-InvAT'!C24</f>
        <v>229484208.2578676</v>
      </c>
      <c r="D16" s="708">
        <f>'E-InvAT'!D24</f>
        <v>65306842.570244968</v>
      </c>
      <c r="E16" s="708">
        <f>'E-InvAT'!E24</f>
        <v>-1014.5323427319527</v>
      </c>
      <c r="F16" s="708">
        <f>'E-InvAT'!F24</f>
        <v>0</v>
      </c>
      <c r="G16" s="708">
        <f>'E-InvAT'!G24</f>
        <v>0</v>
      </c>
      <c r="H16" s="839">
        <f t="shared" ref="H16:H23" si="3">SUM(B16:G16)</f>
        <v>298357709.84222984</v>
      </c>
    </row>
    <row r="17" spans="1:12" ht="15">
      <c r="A17" s="625" t="s">
        <v>984</v>
      </c>
      <c r="B17" s="696">
        <v>0</v>
      </c>
      <c r="C17" s="834">
        <f>'F-CRes'!B5+'F-CRes'!B8+'F-CRes'!B9+'F-CRes'!B10</f>
        <v>1402033149.5949435</v>
      </c>
      <c r="D17" s="834">
        <f>'F-CRes'!C5+'F-CRes'!C8+'F-CRes'!C9+'F-CRes'!C10</f>
        <v>1400274087.5197351</v>
      </c>
      <c r="E17" s="834">
        <f>'F-CRes'!D5+'F-CRes'!D8+'F-CRes'!D9+'F-CRes'!D10</f>
        <v>1386452936.2007246</v>
      </c>
      <c r="F17" s="834">
        <f>'F-CRes'!E5+'F-CRes'!E8+'F-CRes'!E9+'F-CRes'!E10</f>
        <v>1378769812.9683819</v>
      </c>
      <c r="G17" s="834">
        <f>'F-CRes'!F5+'F-CRes'!F8+'F-CRes'!F9+'F-CRes'!F10</f>
        <v>1483078113.1094439</v>
      </c>
      <c r="H17" s="839">
        <f t="shared" si="3"/>
        <v>7050608099.3932285</v>
      </c>
    </row>
    <row r="18" spans="1:12" ht="15">
      <c r="A18" s="625" t="s">
        <v>985</v>
      </c>
      <c r="B18" s="708">
        <v>0</v>
      </c>
      <c r="C18" s="834">
        <f>'F-CRes'!B14</f>
        <v>79832147.641769767</v>
      </c>
      <c r="D18" s="834">
        <f>'F-CRes'!C14</f>
        <v>308665319.36809272</v>
      </c>
      <c r="E18" s="834">
        <f>'F-CRes'!D14</f>
        <v>313502722.32974637</v>
      </c>
      <c r="F18" s="834">
        <f>'F-CRes'!E14</f>
        <v>316191815.46106631</v>
      </c>
      <c r="G18" s="834">
        <f>'F-CRes'!F14</f>
        <v>279683910.41169459</v>
      </c>
      <c r="H18" s="839">
        <f t="shared" si="3"/>
        <v>1297875915.2123697</v>
      </c>
    </row>
    <row r="19" spans="1:12">
      <c r="A19" s="625" t="s">
        <v>986</v>
      </c>
      <c r="B19" s="708">
        <v>0</v>
      </c>
      <c r="C19" s="874">
        <f>'F-Cred'!$E20</f>
        <v>10898217.4</v>
      </c>
      <c r="D19" s="874">
        <f>'F-Cred'!$E22</f>
        <v>10898217.4</v>
      </c>
      <c r="E19" s="874">
        <f>'F-Cred'!$E24</f>
        <v>10898217.4</v>
      </c>
      <c r="F19" s="874">
        <f>'F-Cred'!$E26</f>
        <v>10898217.4</v>
      </c>
      <c r="G19" s="874">
        <f>'F-Cred'!$E28</f>
        <v>10898217.4</v>
      </c>
      <c r="H19" s="839">
        <f t="shared" si="3"/>
        <v>54491087</v>
      </c>
    </row>
    <row r="20" spans="1:12">
      <c r="A20" s="625" t="s">
        <v>987</v>
      </c>
      <c r="B20" s="708">
        <v>0</v>
      </c>
      <c r="C20" s="714">
        <f>'F-CRes'!B12</f>
        <v>15966429.528353956</v>
      </c>
      <c r="D20" s="714">
        <f>'F-CRes'!C12</f>
        <v>61733063.873618551</v>
      </c>
      <c r="E20" s="714">
        <f>'F-CRes'!D12</f>
        <v>62700544.465949282</v>
      </c>
      <c r="F20" s="714">
        <f>'F-CRes'!E12</f>
        <v>63238363.092213266</v>
      </c>
      <c r="G20" s="714">
        <f>'F-CRes'!F12</f>
        <v>55936782.082338922</v>
      </c>
      <c r="H20" s="839">
        <f t="shared" si="3"/>
        <v>259575183.04247397</v>
      </c>
      <c r="L20" s="814"/>
    </row>
    <row r="21" spans="1:12">
      <c r="A21" s="625" t="s">
        <v>988</v>
      </c>
      <c r="B21" s="659" t="s">
        <v>977</v>
      </c>
      <c r="C21" s="653" t="s">
        <v>977</v>
      </c>
      <c r="D21" s="653" t="s">
        <v>977</v>
      </c>
      <c r="E21" s="653" t="s">
        <v>977</v>
      </c>
      <c r="F21" s="653" t="s">
        <v>977</v>
      </c>
      <c r="G21" s="653" t="s">
        <v>977</v>
      </c>
      <c r="H21" s="839">
        <f t="shared" si="3"/>
        <v>0</v>
      </c>
    </row>
    <row r="22" spans="1:12">
      <c r="A22" s="625" t="s">
        <v>989</v>
      </c>
      <c r="B22" s="656">
        <f>'F-IVA'!B17</f>
        <v>64478120.140919097</v>
      </c>
      <c r="C22" s="656">
        <f>'F-IVA'!C17</f>
        <v>79797701.432636261</v>
      </c>
      <c r="D22" s="656">
        <f>'F-IVA'!D17</f>
        <v>13953987.884408584</v>
      </c>
      <c r="E22" s="656">
        <f>'F-IVA'!E17</f>
        <v>-213.05179196764715</v>
      </c>
      <c r="F22" s="656">
        <f>'F-IVA'!F17</f>
        <v>0</v>
      </c>
      <c r="G22" s="656">
        <f>'F-IVA'!G17</f>
        <v>0</v>
      </c>
      <c r="H22" s="839">
        <f t="shared" si="3"/>
        <v>158229596.40617198</v>
      </c>
    </row>
    <row r="23" spans="1:12">
      <c r="A23" s="625" t="s">
        <v>990</v>
      </c>
      <c r="B23" s="659" t="s">
        <v>977</v>
      </c>
      <c r="C23" s="653" t="s">
        <v>977</v>
      </c>
      <c r="D23" s="653" t="s">
        <v>977</v>
      </c>
      <c r="E23" s="653" t="s">
        <v>977</v>
      </c>
      <c r="F23" s="653" t="s">
        <v>977</v>
      </c>
      <c r="G23" s="653" t="s">
        <v>977</v>
      </c>
      <c r="H23" s="839">
        <f t="shared" si="3"/>
        <v>0</v>
      </c>
    </row>
    <row r="24" spans="1:12">
      <c r="A24" s="624" t="s">
        <v>595</v>
      </c>
      <c r="B24" s="701">
        <f>SUM(B15:B23)</f>
        <v>374706187.57862908</v>
      </c>
      <c r="C24" s="701">
        <f t="shared" ref="C24" si="4">SUM(C15:C23)</f>
        <v>1987089299.6576188</v>
      </c>
      <c r="D24" s="701">
        <f>SUM(D15:D23)</f>
        <v>1860831518.6161001</v>
      </c>
      <c r="E24" s="701">
        <f>SUM(E15:E23)</f>
        <v>1773553192.8122859</v>
      </c>
      <c r="F24" s="701">
        <f>SUM(F15:F23)</f>
        <v>1769098208.9216614</v>
      </c>
      <c r="G24" s="701">
        <f>SUM(G15:G23)</f>
        <v>1829597023.0034773</v>
      </c>
      <c r="H24" s="701">
        <f>SUM(H15:H23)</f>
        <v>9594875430.5897713</v>
      </c>
    </row>
    <row r="25" spans="1:12">
      <c r="A25" s="702"/>
      <c r="B25" s="710" t="s">
        <v>200</v>
      </c>
      <c r="C25" s="655"/>
      <c r="D25" s="655"/>
      <c r="E25" s="655"/>
      <c r="F25" s="655"/>
      <c r="G25" s="699"/>
      <c r="H25" s="703"/>
    </row>
    <row r="26" spans="1:12">
      <c r="A26" s="702" t="s">
        <v>991</v>
      </c>
      <c r="B26" s="718">
        <v>0</v>
      </c>
      <c r="C26" s="714">
        <f>C12-C24</f>
        <v>196034297.26808953</v>
      </c>
      <c r="D26" s="714">
        <f>D12-D24</f>
        <v>755162422.69909215</v>
      </c>
      <c r="E26" s="714">
        <f>E12-E24</f>
        <v>1337092576.9425073</v>
      </c>
      <c r="F26" s="714">
        <f>F12-F24</f>
        <v>1923477928.1283388</v>
      </c>
      <c r="G26" s="714">
        <f>G12-G24</f>
        <v>2444551716.1956882</v>
      </c>
      <c r="H26" s="715">
        <f>SUM(B26:G26)</f>
        <v>6656318941.233716</v>
      </c>
    </row>
    <row r="27" spans="1:12">
      <c r="A27" s="702" t="s">
        <v>992</v>
      </c>
      <c r="B27" s="708">
        <v>0</v>
      </c>
      <c r="C27" s="714">
        <f>+'E-Inv AF y Am'!$D$57+(('F-Cred'!$G$18+'F-Cred'!$I$18)/3)</f>
        <v>73308560.107492864</v>
      </c>
      <c r="D27" s="714">
        <f>C27</f>
        <v>73308560.107492864</v>
      </c>
      <c r="E27" s="714">
        <f>C27</f>
        <v>73308560.107492864</v>
      </c>
      <c r="F27" s="714">
        <f>'E-Inv AF y Am'!E57</f>
        <v>68495811.070826203</v>
      </c>
      <c r="G27" s="714">
        <f>F27</f>
        <v>68495811.070826203</v>
      </c>
      <c r="H27" s="709">
        <f>SUM(B27:G27)</f>
        <v>356917302.464131</v>
      </c>
    </row>
    <row r="28" spans="1:12">
      <c r="A28" s="702"/>
      <c r="B28" s="656" t="s">
        <v>200</v>
      </c>
      <c r="C28" s="655"/>
      <c r="D28" s="655"/>
      <c r="E28" s="655"/>
      <c r="F28" s="655"/>
      <c r="G28" s="699"/>
      <c r="H28" s="703"/>
    </row>
    <row r="29" spans="1:12">
      <c r="A29" s="625" t="s">
        <v>993</v>
      </c>
      <c r="B29" s="708">
        <v>0</v>
      </c>
      <c r="C29" s="714">
        <f>C26+C27</f>
        <v>269342857.3755824</v>
      </c>
      <c r="D29" s="714">
        <f>D26+D27</f>
        <v>828470982.80658507</v>
      </c>
      <c r="E29" s="714">
        <f t="shared" ref="E29:G29" si="5">E26+E27</f>
        <v>1410401137.0500002</v>
      </c>
      <c r="F29" s="714">
        <f t="shared" si="5"/>
        <v>1991973739.1991651</v>
      </c>
      <c r="G29" s="714">
        <f t="shared" si="5"/>
        <v>2513047527.2665143</v>
      </c>
      <c r="H29" s="715">
        <f>SUM(B29:G29)</f>
        <v>7013236243.6978474</v>
      </c>
    </row>
    <row r="30" spans="1:12">
      <c r="A30" s="704" t="s">
        <v>994</v>
      </c>
      <c r="B30" s="711" t="s">
        <v>200</v>
      </c>
      <c r="C30" s="716">
        <f>C29-C6</f>
        <v>269342857.3755824</v>
      </c>
      <c r="D30" s="716">
        <f>D29-D6</f>
        <v>559128125.43100262</v>
      </c>
      <c r="E30" s="716">
        <f>E29-E6</f>
        <v>581930154.24341512</v>
      </c>
      <c r="F30" s="716">
        <f>F29-F6</f>
        <v>581572602.14916492</v>
      </c>
      <c r="G30" s="716">
        <f>G29-G6</f>
        <v>521073788.0673492</v>
      </c>
      <c r="H30" s="717">
        <f>SUM(C30:G30)</f>
        <v>2513047527.2665143</v>
      </c>
    </row>
    <row r="31" spans="1:12">
      <c r="A31" s="625"/>
      <c r="B31" s="625"/>
      <c r="C31" s="625"/>
      <c r="D31" s="625"/>
      <c r="E31" s="625"/>
      <c r="F31" s="625"/>
      <c r="G31" s="625"/>
      <c r="H31" s="625"/>
    </row>
    <row r="32" spans="1:12">
      <c r="A32" s="712" t="s">
        <v>501</v>
      </c>
      <c r="B32" s="713"/>
      <c r="C32" s="626"/>
      <c r="D32" s="625"/>
      <c r="E32" s="625"/>
      <c r="F32" s="625"/>
      <c r="G32" s="625"/>
      <c r="H32" s="625"/>
    </row>
    <row r="33" spans="1:8">
      <c r="A33" s="712" t="s">
        <v>995</v>
      </c>
      <c r="B33" s="713"/>
      <c r="C33" s="626"/>
      <c r="D33" s="625"/>
      <c r="E33" s="625"/>
      <c r="F33" s="625"/>
      <c r="G33" s="625"/>
      <c r="H33" s="625"/>
    </row>
    <row r="34" spans="1:8">
      <c r="A34" s="159"/>
      <c r="B34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M1000"/>
  <sheetViews>
    <sheetView showGridLines="0" topLeftCell="A17" workbookViewId="0">
      <selection activeCell="A19" sqref="A19"/>
    </sheetView>
  </sheetViews>
  <sheetFormatPr baseColWidth="10" defaultColWidth="12.7109375" defaultRowHeight="15" customHeight="1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6.85546875" customWidth="1"/>
    <col min="14" max="26" width="14.28515625" customWidth="1"/>
  </cols>
  <sheetData>
    <row r="1" spans="1:13" ht="12.75" customHeight="1">
      <c r="A1" s="19" t="s">
        <v>56</v>
      </c>
      <c r="E1" s="20">
        <v>9</v>
      </c>
    </row>
    <row r="2" spans="1:13" ht="12.75" customHeight="1">
      <c r="G2" s="969" t="s">
        <v>57</v>
      </c>
      <c r="H2" s="970"/>
      <c r="I2" s="970"/>
      <c r="J2" s="970"/>
      <c r="K2" s="970"/>
      <c r="L2" s="970"/>
      <c r="M2" s="971"/>
    </row>
    <row r="3" spans="1:13" ht="14.25" customHeight="1">
      <c r="A3" s="21" t="s">
        <v>58</v>
      </c>
      <c r="B3" s="22">
        <v>0.21</v>
      </c>
      <c r="G3" s="972" t="s">
        <v>59</v>
      </c>
      <c r="H3" s="958"/>
      <c r="I3" s="958"/>
      <c r="J3" s="958"/>
      <c r="K3" s="958"/>
      <c r="L3" s="958"/>
      <c r="M3" s="959"/>
    </row>
    <row r="4" spans="1:13" ht="12.75" customHeight="1">
      <c r="A4" s="21" t="s">
        <v>60</v>
      </c>
      <c r="B4" s="22">
        <v>0.35</v>
      </c>
      <c r="G4" s="973"/>
      <c r="H4" s="974"/>
      <c r="I4" s="974"/>
      <c r="J4" s="974"/>
      <c r="K4" s="974"/>
      <c r="L4" s="974"/>
      <c r="M4" s="975"/>
    </row>
    <row r="5" spans="1:13" ht="12.75" customHeight="1">
      <c r="A5" s="21" t="s">
        <v>61</v>
      </c>
      <c r="B5" s="22">
        <v>7.0000000000000007E-2</v>
      </c>
      <c r="C5" s="4" t="s">
        <v>62</v>
      </c>
      <c r="G5" s="973"/>
      <c r="H5" s="974"/>
      <c r="I5" s="974"/>
      <c r="J5" s="974"/>
      <c r="K5" s="974"/>
      <c r="L5" s="974"/>
      <c r="M5" s="975"/>
    </row>
    <row r="6" spans="1:13" ht="12.75" customHeight="1">
      <c r="G6" s="960"/>
      <c r="H6" s="961"/>
      <c r="I6" s="961"/>
      <c r="J6" s="961"/>
      <c r="K6" s="961"/>
      <c r="L6" s="961"/>
      <c r="M6" s="962"/>
    </row>
    <row r="7" spans="1:13" ht="14.25" customHeight="1">
      <c r="A7" s="21" t="s">
        <v>63</v>
      </c>
      <c r="B7" s="4" t="s">
        <v>64</v>
      </c>
      <c r="G7" s="957" t="s">
        <v>65</v>
      </c>
      <c r="H7" s="958"/>
      <c r="I7" s="958"/>
      <c r="J7" s="958"/>
      <c r="K7" s="958"/>
      <c r="L7" s="958"/>
      <c r="M7" s="959"/>
    </row>
    <row r="8" spans="1:13" ht="12.75" customHeight="1">
      <c r="A8" s="23" t="s">
        <v>66</v>
      </c>
      <c r="B8" s="24">
        <v>30</v>
      </c>
      <c r="C8" s="4" t="s">
        <v>67</v>
      </c>
      <c r="G8" s="960"/>
      <c r="H8" s="961"/>
      <c r="I8" s="961"/>
      <c r="J8" s="961"/>
      <c r="K8" s="961"/>
      <c r="L8" s="961"/>
      <c r="M8" s="962"/>
    </row>
    <row r="9" spans="1:13" ht="12.75" customHeight="1">
      <c r="A9" s="23" t="s">
        <v>68</v>
      </c>
      <c r="B9" s="24">
        <v>10</v>
      </c>
      <c r="C9" s="4" t="s">
        <v>67</v>
      </c>
      <c r="G9" s="976" t="s">
        <v>69</v>
      </c>
      <c r="H9" s="970"/>
      <c r="I9" s="970"/>
      <c r="J9" s="970"/>
      <c r="K9" s="970"/>
      <c r="L9" s="970"/>
      <c r="M9" s="971"/>
    </row>
    <row r="10" spans="1:13" ht="14.25" customHeight="1">
      <c r="A10" s="23" t="s">
        <v>70</v>
      </c>
      <c r="B10" s="24">
        <v>10</v>
      </c>
      <c r="C10" s="4" t="s">
        <v>67</v>
      </c>
      <c r="G10" s="957" t="s">
        <v>71</v>
      </c>
      <c r="H10" s="958"/>
      <c r="I10" s="958"/>
      <c r="J10" s="958"/>
      <c r="K10" s="958"/>
      <c r="L10" s="958"/>
      <c r="M10" s="959"/>
    </row>
    <row r="11" spans="1:13" ht="12.75" customHeight="1">
      <c r="A11" s="23" t="s">
        <v>72</v>
      </c>
      <c r="B11" s="24">
        <v>5</v>
      </c>
      <c r="C11" s="4" t="s">
        <v>67</v>
      </c>
      <c r="G11" s="960"/>
      <c r="H11" s="961"/>
      <c r="I11" s="961"/>
      <c r="J11" s="961"/>
      <c r="K11" s="961"/>
      <c r="L11" s="961"/>
      <c r="M11" s="962"/>
    </row>
    <row r="12" spans="1:13" ht="14.25" customHeight="1">
      <c r="A12" s="23" t="s">
        <v>73</v>
      </c>
      <c r="B12" s="24">
        <v>5</v>
      </c>
      <c r="C12" s="4" t="s">
        <v>67</v>
      </c>
      <c r="G12" s="957" t="s">
        <v>74</v>
      </c>
      <c r="H12" s="958"/>
      <c r="I12" s="958"/>
      <c r="J12" s="958"/>
      <c r="K12" s="958"/>
      <c r="L12" s="958"/>
      <c r="M12" s="959"/>
    </row>
    <row r="13" spans="1:13" ht="12.75" customHeight="1">
      <c r="A13" s="23" t="s">
        <v>75</v>
      </c>
      <c r="B13" s="24">
        <v>5</v>
      </c>
      <c r="C13" s="4" t="s">
        <v>67</v>
      </c>
      <c r="G13" s="960"/>
      <c r="H13" s="961"/>
      <c r="I13" s="961"/>
      <c r="J13" s="961"/>
      <c r="K13" s="961"/>
      <c r="L13" s="961"/>
      <c r="M13" s="962"/>
    </row>
    <row r="14" spans="1:13" ht="12.75" customHeight="1">
      <c r="A14" s="23" t="s">
        <v>76</v>
      </c>
      <c r="B14" s="25">
        <f>0.05</f>
        <v>0.05</v>
      </c>
    </row>
    <row r="15" spans="1:13" ht="12.75" customHeight="1"/>
    <row r="16" spans="1:13" ht="12.75" customHeight="1">
      <c r="A16" s="21" t="s">
        <v>77</v>
      </c>
      <c r="B16" s="963" t="s">
        <v>78</v>
      </c>
      <c r="C16" s="964"/>
      <c r="D16" s="964"/>
      <c r="E16" s="964"/>
      <c r="F16" s="964"/>
      <c r="G16" s="965"/>
    </row>
    <row r="17" spans="1:5" ht="12.75" customHeight="1"/>
    <row r="18" spans="1:5" ht="12.75" customHeight="1">
      <c r="A18" s="21" t="s">
        <v>79</v>
      </c>
      <c r="B18" s="156">
        <v>756000</v>
      </c>
      <c r="C18" s="4" t="s">
        <v>80</v>
      </c>
    </row>
    <row r="19" spans="1:5" ht="12.75" customHeight="1">
      <c r="A19" s="21" t="s">
        <v>81</v>
      </c>
      <c r="B19" s="157">
        <v>1050</v>
      </c>
      <c r="C19" s="4" t="s">
        <v>82</v>
      </c>
    </row>
    <row r="20" spans="1:5" ht="12.75" customHeight="1">
      <c r="B20" s="158"/>
    </row>
    <row r="21" spans="1:5" ht="12.75" customHeight="1">
      <c r="A21" s="21" t="s">
        <v>83</v>
      </c>
      <c r="B21" s="158"/>
    </row>
    <row r="22" spans="1:5" ht="12.75" customHeight="1">
      <c r="A22" s="21" t="s">
        <v>84</v>
      </c>
      <c r="B22" s="156">
        <v>28</v>
      </c>
      <c r="C22" s="4" t="s">
        <v>85</v>
      </c>
    </row>
    <row r="23" spans="1:5" ht="12.75" customHeight="1">
      <c r="A23" s="21" t="s">
        <v>86</v>
      </c>
      <c r="B23" s="157">
        <v>11</v>
      </c>
      <c r="C23" s="4" t="s">
        <v>85</v>
      </c>
    </row>
    <row r="24" spans="1:5" ht="12.75" customHeight="1">
      <c r="A24" s="21" t="s">
        <v>87</v>
      </c>
      <c r="B24" s="157">
        <v>4</v>
      </c>
      <c r="C24" s="4" t="s">
        <v>85</v>
      </c>
    </row>
    <row r="25" spans="1:5" ht="12.75" customHeight="1">
      <c r="B25" s="158"/>
    </row>
    <row r="26" spans="1:5" ht="12.75" customHeight="1">
      <c r="A26" s="21" t="s">
        <v>88</v>
      </c>
      <c r="B26" s="156">
        <v>1711.72</v>
      </c>
      <c r="C26" s="4" t="s">
        <v>89</v>
      </c>
      <c r="D26" s="27" t="s">
        <v>90</v>
      </c>
    </row>
    <row r="27" spans="1:5" ht="12.75" customHeight="1">
      <c r="A27" s="21" t="s">
        <v>91</v>
      </c>
      <c r="B27" s="157">
        <v>24</v>
      </c>
      <c r="C27" s="4" t="s">
        <v>92</v>
      </c>
      <c r="D27" s="27" t="s">
        <v>93</v>
      </c>
    </row>
    <row r="28" spans="1:5" ht="12.75" customHeight="1">
      <c r="A28" s="21" t="s">
        <v>94</v>
      </c>
      <c r="B28" s="157">
        <v>3</v>
      </c>
      <c r="C28" s="4" t="s">
        <v>92</v>
      </c>
      <c r="D28" s="27" t="s">
        <v>93</v>
      </c>
    </row>
    <row r="29" spans="1:5" ht="12.75" customHeight="1">
      <c r="B29" s="158"/>
    </row>
    <row r="30" spans="1:5" ht="12.75" customHeight="1">
      <c r="B30" s="158"/>
    </row>
    <row r="31" spans="1:5" ht="12.75" customHeight="1">
      <c r="A31" s="21" t="s">
        <v>95</v>
      </c>
      <c r="B31" s="156">
        <v>145</v>
      </c>
      <c r="C31" s="4" t="s">
        <v>96</v>
      </c>
      <c r="D31" s="26">
        <v>1</v>
      </c>
      <c r="E31" s="4" t="s">
        <v>97</v>
      </c>
    </row>
    <row r="32" spans="1:5" ht="12.75" customHeight="1">
      <c r="A32" s="28"/>
    </row>
    <row r="33" spans="1:7" ht="12.75" customHeight="1">
      <c r="A33" s="28"/>
    </row>
    <row r="34" spans="1:7" ht="12.75" customHeight="1">
      <c r="A34" s="21" t="s">
        <v>98</v>
      </c>
      <c r="B34" s="29">
        <f>'InfoInicial-CálcAux'!C22</f>
        <v>0.75</v>
      </c>
      <c r="C34" s="4" t="s">
        <v>99</v>
      </c>
      <c r="E34" s="16"/>
    </row>
    <row r="35" spans="1:7" ht="12.75" customHeight="1">
      <c r="A35" s="21" t="s">
        <v>100</v>
      </c>
      <c r="B35" s="966" t="s">
        <v>101</v>
      </c>
      <c r="C35" s="967"/>
      <c r="D35" s="968"/>
      <c r="E35" s="30"/>
      <c r="F35" s="16"/>
      <c r="G35" s="31" t="s">
        <v>102</v>
      </c>
    </row>
    <row r="36" spans="1:7" ht="12.75" customHeight="1">
      <c r="A36" s="21" t="s">
        <v>103</v>
      </c>
      <c r="B36" s="32">
        <f>'InfoInicial-CálcAux'!C23</f>
        <v>80</v>
      </c>
    </row>
    <row r="37" spans="1:7" ht="12.75" customHeight="1">
      <c r="A37" s="21"/>
      <c r="E37" s="16"/>
    </row>
    <row r="38" spans="1:7" ht="12.75" customHeight="1">
      <c r="A38" s="21" t="s">
        <v>104</v>
      </c>
      <c r="B38" s="26">
        <v>60</v>
      </c>
      <c r="E38" s="16"/>
    </row>
    <row r="39" spans="1:7" ht="12.75" customHeight="1">
      <c r="A39" s="21" t="s">
        <v>105</v>
      </c>
      <c r="B39" s="865">
        <v>0.5</v>
      </c>
    </row>
    <row r="40" spans="1:7" ht="12.75" customHeight="1">
      <c r="A40" s="21" t="s">
        <v>106</v>
      </c>
      <c r="B40" s="29">
        <v>0.6</v>
      </c>
      <c r="C40" s="4" t="s">
        <v>99</v>
      </c>
    </row>
    <row r="41" spans="1:7" ht="12.75" customHeight="1"/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spans="7:7" ht="12.75" customHeight="1">
      <c r="G289" s="31" t="s">
        <v>107</v>
      </c>
    </row>
    <row r="290" spans="7:7" ht="12.75" customHeight="1"/>
    <row r="291" spans="7:7" ht="12.75" customHeight="1"/>
    <row r="292" spans="7:7" ht="12.75" customHeight="1"/>
    <row r="293" spans="7:7" ht="12.75" customHeight="1"/>
    <row r="294" spans="7:7" ht="12.75" customHeight="1"/>
    <row r="295" spans="7:7" ht="12.75" customHeight="1"/>
    <row r="296" spans="7:7" ht="12.75" customHeight="1"/>
    <row r="297" spans="7:7" ht="12.75" customHeight="1"/>
    <row r="298" spans="7:7" ht="12.75" customHeight="1"/>
    <row r="299" spans="7:7" ht="12.75" customHeight="1"/>
    <row r="300" spans="7:7" ht="12.75" customHeight="1"/>
    <row r="301" spans="7:7" ht="12.75" customHeight="1"/>
    <row r="302" spans="7:7" ht="12.75" customHeight="1"/>
    <row r="303" spans="7:7" ht="12.75" customHeight="1"/>
    <row r="304" spans="7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2:M13"/>
    <mergeCell ref="B16:G16"/>
    <mergeCell ref="B35:D35"/>
    <mergeCell ref="G2:M2"/>
    <mergeCell ref="G3:M6"/>
    <mergeCell ref="G7:M8"/>
    <mergeCell ref="G9:M9"/>
    <mergeCell ref="G10:M11"/>
  </mergeCells>
  <pageMargins left="0.75" right="0.75" top="0.7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ED98-D459-40BC-8FA3-249F0DBF5AD9}">
  <sheetPr>
    <tabColor rgb="FFFFFF00"/>
  </sheetPr>
  <dimension ref="A1:J40"/>
  <sheetViews>
    <sheetView topLeftCell="A6" workbookViewId="0">
      <selection activeCell="F46" sqref="F46"/>
    </sheetView>
  </sheetViews>
  <sheetFormatPr baseColWidth="10" defaultColWidth="8.85546875" defaultRowHeight="12.75"/>
  <cols>
    <col min="1" max="1" width="37.7109375" customWidth="1"/>
    <col min="2" max="2" width="16.7109375" bestFit="1" customWidth="1"/>
    <col min="3" max="7" width="18.42578125" bestFit="1" customWidth="1"/>
  </cols>
  <sheetData>
    <row r="1" spans="1:7">
      <c r="A1" s="586" t="s">
        <v>56</v>
      </c>
      <c r="B1" s="587"/>
      <c r="C1" s="587"/>
      <c r="D1" s="587"/>
      <c r="E1" s="606">
        <v>9</v>
      </c>
      <c r="F1" s="158"/>
      <c r="G1" s="158"/>
    </row>
    <row r="2" spans="1:7">
      <c r="A2" s="158"/>
      <c r="B2" s="158"/>
      <c r="C2" s="158"/>
      <c r="D2" s="158"/>
      <c r="E2" s="158"/>
      <c r="F2" s="158"/>
      <c r="G2" s="158"/>
    </row>
    <row r="3" spans="1:7" ht="15.75">
      <c r="A3" s="590" t="s">
        <v>996</v>
      </c>
      <c r="B3" s="591" t="s">
        <v>200</v>
      </c>
      <c r="C3" s="591" t="s">
        <v>200</v>
      </c>
      <c r="D3" s="591" t="s">
        <v>200</v>
      </c>
      <c r="E3" s="591" t="s">
        <v>200</v>
      </c>
      <c r="F3" s="736" t="s">
        <v>200</v>
      </c>
      <c r="G3" s="737" t="s">
        <v>200</v>
      </c>
    </row>
    <row r="4" spans="1:7">
      <c r="A4" s="723" t="s">
        <v>200</v>
      </c>
      <c r="B4" s="600" t="s">
        <v>14</v>
      </c>
      <c r="C4" s="600" t="s">
        <v>2</v>
      </c>
      <c r="D4" s="600" t="s">
        <v>3</v>
      </c>
      <c r="E4" s="600" t="s">
        <v>4</v>
      </c>
      <c r="F4" s="734" t="s">
        <v>5</v>
      </c>
      <c r="G4" s="735" t="s">
        <v>6</v>
      </c>
    </row>
    <row r="5" spans="1:7">
      <c r="A5" s="470" t="s">
        <v>997</v>
      </c>
      <c r="B5" s="913">
        <f t="shared" ref="B5:G5" si="0">SUM(B7:B11)</f>
        <v>97321399.064814061</v>
      </c>
      <c r="C5" s="913">
        <f t="shared" si="0"/>
        <v>552916835.23511124</v>
      </c>
      <c r="D5" s="913">
        <f t="shared" si="0"/>
        <v>1126829707.1811576</v>
      </c>
      <c r="E5" s="913">
        <f t="shared" si="0"/>
        <v>1708758846.89223</v>
      </c>
      <c r="F5" s="913">
        <f t="shared" si="0"/>
        <v>2290331449.0413952</v>
      </c>
      <c r="G5" s="913">
        <f t="shared" si="0"/>
        <v>2811405237.1087441</v>
      </c>
    </row>
    <row r="6" spans="1:7">
      <c r="A6" s="461" t="s">
        <v>998</v>
      </c>
      <c r="B6" s="620" t="s">
        <v>200</v>
      </c>
      <c r="C6" s="620" t="s">
        <v>200</v>
      </c>
      <c r="D6" s="620" t="s">
        <v>200</v>
      </c>
      <c r="E6" s="620" t="s">
        <v>200</v>
      </c>
      <c r="F6" s="620" t="s">
        <v>200</v>
      </c>
      <c r="G6" s="657" t="s">
        <v>200</v>
      </c>
    </row>
    <row r="7" spans="1:7">
      <c r="A7" s="455" t="s">
        <v>999</v>
      </c>
      <c r="B7" s="908">
        <f>'E-InvAT'!B6</f>
        <v>2608200</v>
      </c>
      <c r="C7" s="908">
        <f>'E-InvAT'!C6</f>
        <v>32602500</v>
      </c>
      <c r="D7" s="908">
        <f>'E-InvAT'!D6</f>
        <v>45643500</v>
      </c>
      <c r="E7" s="908">
        <f>'E-InvAT'!E6</f>
        <v>45643500</v>
      </c>
      <c r="F7" s="908">
        <f>'E-InvAT'!F6</f>
        <v>45643500</v>
      </c>
      <c r="G7" s="909">
        <f>'E-InvAT'!G6</f>
        <v>45643500</v>
      </c>
    </row>
    <row r="8" spans="1:7">
      <c r="A8" s="455" t="s">
        <v>1000</v>
      </c>
      <c r="B8" s="908">
        <f>'F- CFyU'!B29</f>
        <v>0</v>
      </c>
      <c r="C8" s="908">
        <f>'F- CFyU'!C29</f>
        <v>269342857.3755824</v>
      </c>
      <c r="D8" s="908">
        <f>'F- CFyU'!D29</f>
        <v>828470982.80658507</v>
      </c>
      <c r="E8" s="908">
        <f>'F- CFyU'!E29</f>
        <v>1410401137.0500002</v>
      </c>
      <c r="F8" s="908">
        <f>'F- CFyU'!F29</f>
        <v>1991973739.1991651</v>
      </c>
      <c r="G8" s="908">
        <f>'F- CFyU'!G29</f>
        <v>2513047527.2665143</v>
      </c>
    </row>
    <row r="9" spans="1:7">
      <c r="A9" s="461" t="s">
        <v>1001</v>
      </c>
      <c r="B9" s="908">
        <f>'E-InvAT'!B7</f>
        <v>0</v>
      </c>
      <c r="C9" s="908">
        <f>'E-InvAT'!C7</f>
        <v>133982876.71232876</v>
      </c>
      <c r="D9" s="908">
        <f>'E-InvAT'!D7</f>
        <v>187576027.39726028</v>
      </c>
      <c r="E9" s="908">
        <f>'E-InvAT'!E7</f>
        <v>187576027.39726028</v>
      </c>
      <c r="F9" s="908">
        <f>'E-InvAT'!F7</f>
        <v>187576027.39726028</v>
      </c>
      <c r="G9" s="909">
        <f>'E-InvAT'!G7</f>
        <v>187576027.39726028</v>
      </c>
    </row>
    <row r="10" spans="1:7">
      <c r="A10" s="461" t="s">
        <v>1002</v>
      </c>
      <c r="B10" s="908">
        <f>SUM('E-InvAT'!B10:B13)</f>
        <v>959473.54645999998</v>
      </c>
      <c r="C10" s="908">
        <f>SUM('E-InvAT'!C10:C13)</f>
        <v>66466505.091998838</v>
      </c>
      <c r="D10" s="908">
        <f>SUM('E-InvAT'!D10:D13)</f>
        <v>65139196.977312304</v>
      </c>
      <c r="E10" s="908">
        <f>SUM('E-InvAT'!E10:E13)</f>
        <v>65138182.444969602</v>
      </c>
      <c r="F10" s="908">
        <f>SUM('E-InvAT'!F10:F13)</f>
        <v>65138182.444969602</v>
      </c>
      <c r="G10" s="908">
        <f>SUM('E-InvAT'!G10:G13)</f>
        <v>65138182.444969602</v>
      </c>
    </row>
    <row r="11" spans="1:7">
      <c r="A11" s="461" t="s">
        <v>1003</v>
      </c>
      <c r="B11" s="908">
        <f>'F-IVA'!C19</f>
        <v>93753725.518354058</v>
      </c>
      <c r="C11" s="908">
        <f>+'F-IVA'!D19-'F-IVA'!D17</f>
        <v>50522096.055201292</v>
      </c>
      <c r="D11" s="908">
        <f>+'F-IVA'!E19-'F-IVA'!E17</f>
        <v>0</v>
      </c>
      <c r="E11" s="908">
        <f>+'F-IVA'!F19-'F-IVA'!F17</f>
        <v>0</v>
      </c>
      <c r="F11" s="908">
        <f>+'F-IVA'!G19-'F-IVA'!G17</f>
        <v>0</v>
      </c>
      <c r="G11" s="908">
        <f>+'F-IVA'!H19-'F-IVA'!H17</f>
        <v>0</v>
      </c>
    </row>
    <row r="12" spans="1:7">
      <c r="A12" s="461" t="s">
        <v>1004</v>
      </c>
      <c r="B12" s="912">
        <f t="shared" ref="B12:G12" si="1">B17+B22+B23</f>
        <v>277384788.51381505</v>
      </c>
      <c r="C12" s="912">
        <f t="shared" si="1"/>
        <v>402429279.58580482</v>
      </c>
      <c r="D12" s="912">
        <f t="shared" si="1"/>
        <v>329120719.47831202</v>
      </c>
      <c r="E12" s="912">
        <f t="shared" si="1"/>
        <v>255812159.37081909</v>
      </c>
      <c r="F12" s="912">
        <f t="shared" si="1"/>
        <v>187316348.29999289</v>
      </c>
      <c r="G12" s="912">
        <f t="shared" si="1"/>
        <v>118820537.22916666</v>
      </c>
    </row>
    <row r="13" spans="1:7">
      <c r="A13" s="461" t="s">
        <v>1005</v>
      </c>
      <c r="B13" s="620" t="s">
        <v>200</v>
      </c>
      <c r="C13" s="620" t="s">
        <v>200</v>
      </c>
      <c r="D13" s="620" t="s">
        <v>200</v>
      </c>
      <c r="E13" s="620" t="s">
        <v>200</v>
      </c>
      <c r="F13" s="620" t="s">
        <v>200</v>
      </c>
      <c r="G13" s="657" t="s">
        <v>200</v>
      </c>
    </row>
    <row r="14" spans="1:7">
      <c r="A14" s="455" t="s">
        <v>1006</v>
      </c>
      <c r="B14" s="902">
        <f>'F-2 Estructura'!B7</f>
        <v>128286845.26000001</v>
      </c>
      <c r="C14" s="902">
        <f>B17</f>
        <v>128286845.26000001</v>
      </c>
      <c r="D14" s="902">
        <f>C17</f>
        <v>235966333.23497152</v>
      </c>
      <c r="E14" s="902">
        <f t="shared" ref="E14:G14" si="2">D17</f>
        <v>174568375.40789533</v>
      </c>
      <c r="F14" s="902">
        <f t="shared" si="2"/>
        <v>113170417.58081912</v>
      </c>
      <c r="G14" s="902">
        <f t="shared" si="2"/>
        <v>56585208.790409572</v>
      </c>
    </row>
    <row r="15" spans="1:7">
      <c r="A15" s="455" t="s">
        <v>1007</v>
      </c>
      <c r="B15" s="620"/>
      <c r="C15" s="908">
        <f>'F-2 Estructura'!C7</f>
        <v>169077445.80204773</v>
      </c>
      <c r="D15" s="620">
        <v>0</v>
      </c>
      <c r="E15" s="620">
        <f>'F-2 Estructura'!E7</f>
        <v>0</v>
      </c>
      <c r="F15" s="620">
        <f>'F-2 Estructura'!F7</f>
        <v>0</v>
      </c>
      <c r="G15" s="657">
        <f>'F-2 Estructura'!G7</f>
        <v>0</v>
      </c>
    </row>
    <row r="16" spans="1:7">
      <c r="A16" s="455" t="s">
        <v>1008</v>
      </c>
      <c r="C16" s="902">
        <f>'Ej 50-66'!B113+'E-Inv AF y Am'!D54</f>
        <v>61397957.827076212</v>
      </c>
      <c r="D16" s="902">
        <f>'Ej 50-66'!B114+'E-Inv AF y Am'!E54</f>
        <v>61397957.827076212</v>
      </c>
      <c r="E16" s="902">
        <f>'Ej 50-66'!B115+'E-Inv AF y Am'!D54</f>
        <v>61397957.827076212</v>
      </c>
      <c r="F16" s="902">
        <f>'E-Inv AF y Am'!E54</f>
        <v>56585208.790409543</v>
      </c>
      <c r="G16" s="902">
        <f>'E-Inv AF y Am'!E54</f>
        <v>56585208.790409543</v>
      </c>
    </row>
    <row r="17" spans="1:7">
      <c r="A17" s="455" t="s">
        <v>1009</v>
      </c>
      <c r="B17" s="902">
        <f>B14+B15-B16</f>
        <v>128286845.26000001</v>
      </c>
      <c r="C17" s="902">
        <f>C14+C15-C16</f>
        <v>235966333.23497152</v>
      </c>
      <c r="D17" s="902">
        <f t="shared" ref="D17:G17" si="3">D14+D15-D16</f>
        <v>174568375.40789533</v>
      </c>
      <c r="E17" s="902">
        <f t="shared" si="3"/>
        <v>113170417.58081912</v>
      </c>
      <c r="F17" s="902">
        <f t="shared" si="3"/>
        <v>56585208.790409572</v>
      </c>
      <c r="G17" s="902">
        <f t="shared" si="3"/>
        <v>0</v>
      </c>
    </row>
    <row r="18" spans="1:7">
      <c r="A18" s="461" t="s">
        <v>505</v>
      </c>
      <c r="B18" s="620" t="s">
        <v>200</v>
      </c>
      <c r="C18" s="620" t="s">
        <v>200</v>
      </c>
      <c r="D18" s="620" t="s">
        <v>200</v>
      </c>
      <c r="E18" s="620" t="s">
        <v>200</v>
      </c>
      <c r="F18" s="620" t="s">
        <v>200</v>
      </c>
      <c r="G18" s="657" t="s">
        <v>200</v>
      </c>
    </row>
    <row r="19" spans="1:7">
      <c r="A19" s="455" t="s">
        <v>1006</v>
      </c>
      <c r="B19" s="902">
        <f>'F-2 Estructura'!B6</f>
        <v>178373548.63124999</v>
      </c>
      <c r="C19" s="902">
        <f>B22</f>
        <v>178373548.63124999</v>
      </c>
      <c r="D19" s="902">
        <f>C22</f>
        <v>166462946.35083333</v>
      </c>
      <c r="E19" s="902">
        <f>D22</f>
        <v>154552344.07041666</v>
      </c>
      <c r="F19" s="902">
        <f t="shared" ref="F19" si="4">E22</f>
        <v>142641741.78999999</v>
      </c>
      <c r="G19" s="903">
        <f>F22</f>
        <v>130731139.50958332</v>
      </c>
    </row>
    <row r="20" spans="1:7">
      <c r="A20" s="455" t="s">
        <v>1010</v>
      </c>
      <c r="B20" s="696"/>
      <c r="C20" s="696"/>
      <c r="D20" s="696">
        <v>0</v>
      </c>
      <c r="E20" s="696">
        <v>0</v>
      </c>
      <c r="F20" s="696">
        <v>0</v>
      </c>
      <c r="G20" s="657">
        <v>0</v>
      </c>
    </row>
    <row r="21" spans="1:7">
      <c r="A21" s="455" t="s">
        <v>1011</v>
      </c>
      <c r="B21" s="696"/>
      <c r="C21" s="902">
        <f>'E-Inv AF y Am'!$D$52</f>
        <v>11910602.280416667</v>
      </c>
      <c r="D21" s="902">
        <f>'E-Inv AF y Am'!$D$52</f>
        <v>11910602.280416667</v>
      </c>
      <c r="E21" s="902">
        <f>'E-Inv AF y Am'!$D$52</f>
        <v>11910602.280416667</v>
      </c>
      <c r="F21" s="902">
        <f>'E-Inv AF y Am'!$E$52</f>
        <v>11910602.280416667</v>
      </c>
      <c r="G21" s="902">
        <f>'E-Inv AF y Am'!$E$52</f>
        <v>11910602.280416667</v>
      </c>
    </row>
    <row r="22" spans="1:7">
      <c r="A22" s="455" t="s">
        <v>1009</v>
      </c>
      <c r="B22" s="902">
        <f>B19+B20-B21</f>
        <v>178373548.63124999</v>
      </c>
      <c r="C22" s="902">
        <f>C19+C20-C21</f>
        <v>166462946.35083333</v>
      </c>
      <c r="D22" s="902">
        <f t="shared" ref="D22:F22" si="5">D19+D20-D21</f>
        <v>154552344.07041666</v>
      </c>
      <c r="E22" s="902">
        <f t="shared" si="5"/>
        <v>142641741.78999999</v>
      </c>
      <c r="F22" s="902">
        <f t="shared" si="5"/>
        <v>130731139.50958332</v>
      </c>
      <c r="G22" s="903">
        <f>G19+G20-G21</f>
        <v>118820537.22916666</v>
      </c>
    </row>
    <row r="23" spans="1:7">
      <c r="A23" s="461" t="s">
        <v>1012</v>
      </c>
      <c r="B23" s="908">
        <f>'F- CFyU'!B22-'F- CFyU'!C11</f>
        <v>-29275605.377434961</v>
      </c>
      <c r="C23" s="908">
        <v>0</v>
      </c>
      <c r="D23" s="908">
        <v>0</v>
      </c>
      <c r="E23" s="908">
        <v>0</v>
      </c>
      <c r="F23" s="908">
        <v>0</v>
      </c>
      <c r="G23" s="908">
        <v>0</v>
      </c>
    </row>
    <row r="24" spans="1:7">
      <c r="A24" s="461" t="s">
        <v>1013</v>
      </c>
      <c r="B24" s="878">
        <f>B12+B5</f>
        <v>374706187.57862914</v>
      </c>
      <c r="C24" s="878">
        <f t="shared" ref="C24:G24" si="6">C12+C5</f>
        <v>955346114.82091606</v>
      </c>
      <c r="D24" s="878">
        <f t="shared" si="6"/>
        <v>1455950426.6594696</v>
      </c>
      <c r="E24" s="878">
        <f t="shared" si="6"/>
        <v>1964571006.2630491</v>
      </c>
      <c r="F24" s="878">
        <f t="shared" si="6"/>
        <v>2477647797.3413882</v>
      </c>
      <c r="G24" s="878">
        <f t="shared" si="6"/>
        <v>2930225774.3379107</v>
      </c>
    </row>
    <row r="25" spans="1:7">
      <c r="A25" s="931" t="s">
        <v>1014</v>
      </c>
      <c r="B25" s="932">
        <f>B27</f>
        <v>10898217.4</v>
      </c>
      <c r="C25" s="932">
        <f>C27+C26</f>
        <v>11697778.688716667</v>
      </c>
      <c r="D25" s="932">
        <f>D27+D26</f>
        <v>11697778.688716667</v>
      </c>
      <c r="E25" s="932">
        <f>E27+E26</f>
        <v>11697778.688716667</v>
      </c>
      <c r="F25" s="932">
        <f>F27+F26</f>
        <v>11697778.688716667</v>
      </c>
      <c r="G25" s="933">
        <f>G26+G27</f>
        <v>11697778.688716667</v>
      </c>
    </row>
    <row r="26" spans="1:7">
      <c r="A26" s="931" t="s">
        <v>1015</v>
      </c>
      <c r="B26" s="932">
        <v>0</v>
      </c>
      <c r="C26" s="932">
        <f>'F-Cred'!D6</f>
        <v>799561.28871666663</v>
      </c>
      <c r="D26" s="932">
        <f>C26</f>
        <v>799561.28871666663</v>
      </c>
      <c r="E26" s="932">
        <f>'F-Cred'!$D$6</f>
        <v>799561.28871666663</v>
      </c>
      <c r="F26" s="932">
        <f>E26</f>
        <v>799561.28871666663</v>
      </c>
      <c r="G26" s="932">
        <f>'F-Cred'!$D$6</f>
        <v>799561.28871666663</v>
      </c>
    </row>
    <row r="27" spans="1:7">
      <c r="A27" s="931" t="s">
        <v>1016</v>
      </c>
      <c r="B27" s="932">
        <f>'F-Cred'!$E20</f>
        <v>10898217.4</v>
      </c>
      <c r="C27" s="932">
        <f>'F-Cred'!$E22</f>
        <v>10898217.4</v>
      </c>
      <c r="D27" s="932">
        <f>'F-Cred'!$E24</f>
        <v>10898217.4</v>
      </c>
      <c r="E27" s="932">
        <f>'F-Cred'!$E26</f>
        <v>10898217.4</v>
      </c>
      <c r="F27" s="932">
        <f>'F-Cred'!$E28</f>
        <v>10898217.4</v>
      </c>
      <c r="G27" s="932">
        <f>'F-Cred'!E22</f>
        <v>10898217.4</v>
      </c>
    </row>
    <row r="28" spans="1:7">
      <c r="A28" s="931" t="s">
        <v>1017</v>
      </c>
      <c r="B28" s="932">
        <f>B29</f>
        <v>43592869.600000001</v>
      </c>
      <c r="C28" s="932">
        <f>C29</f>
        <v>32694652.200000003</v>
      </c>
      <c r="D28" s="932">
        <f>D29</f>
        <v>21796434.800000004</v>
      </c>
      <c r="E28" s="932">
        <f t="shared" ref="E28:F28" si="7">E29</f>
        <v>10898217.400000004</v>
      </c>
      <c r="F28" s="932">
        <f t="shared" si="7"/>
        <v>0</v>
      </c>
      <c r="G28" s="933">
        <f>G29</f>
        <v>-10898217.4</v>
      </c>
    </row>
    <row r="29" spans="1:7">
      <c r="A29" s="931" t="s">
        <v>1016</v>
      </c>
      <c r="B29" s="932">
        <f>'F-Cred'!E30-'F-Cred'!E20</f>
        <v>43592869.600000001</v>
      </c>
      <c r="C29" s="932">
        <f>B29-B27</f>
        <v>32694652.200000003</v>
      </c>
      <c r="D29" s="932">
        <f>C29-C27</f>
        <v>21796434.800000004</v>
      </c>
      <c r="E29" s="932">
        <f>D29-D27</f>
        <v>10898217.400000004</v>
      </c>
      <c r="F29" s="932">
        <f>E29-E27</f>
        <v>0</v>
      </c>
      <c r="G29" s="932">
        <f>F29-F27</f>
        <v>-10898217.4</v>
      </c>
    </row>
    <row r="30" spans="1:7">
      <c r="A30" s="931" t="s">
        <v>1018</v>
      </c>
      <c r="B30" s="932">
        <f>B28+B25</f>
        <v>54491087</v>
      </c>
      <c r="C30" s="932">
        <f>C28+C25</f>
        <v>44392430.888716668</v>
      </c>
      <c r="D30" s="932">
        <f>D28+D25</f>
        <v>33494213.488716669</v>
      </c>
      <c r="E30" s="932">
        <f t="shared" ref="E30:F30" si="8">E28+E25</f>
        <v>22595996.088716671</v>
      </c>
      <c r="F30" s="932">
        <f t="shared" si="8"/>
        <v>11697778.688716667</v>
      </c>
      <c r="G30" s="932">
        <f>G28+G25</f>
        <v>799561.2887166664</v>
      </c>
    </row>
    <row r="31" spans="1:7">
      <c r="A31" s="931" t="s">
        <v>1019</v>
      </c>
      <c r="B31" s="932">
        <f>SUM(B32:B34)</f>
        <v>320215100.57862908</v>
      </c>
      <c r="C31" s="932">
        <f t="shared" ref="C31:F31" si="9">SUM(C32:C34)</f>
        <v>910953683.93219936</v>
      </c>
      <c r="D31" s="932">
        <f>SUM(D32:D34)</f>
        <v>1422456213.1707528</v>
      </c>
      <c r="E31" s="932">
        <f t="shared" si="9"/>
        <v>1941975010.1743326</v>
      </c>
      <c r="F31" s="932">
        <f t="shared" si="9"/>
        <v>2465950018.6526709</v>
      </c>
      <c r="G31" s="932">
        <f>SUM(G32:G34)</f>
        <v>2929426213.0491934</v>
      </c>
    </row>
    <row r="32" spans="1:7">
      <c r="A32" s="931" t="s">
        <v>1020</v>
      </c>
      <c r="B32" s="932">
        <f>'F-2 Estructura'!B31</f>
        <v>320215100.57862908</v>
      </c>
      <c r="C32" s="932">
        <f>'F-2 Estructura'!B31+'F-2 Estructura'!C31</f>
        <v>778660410.69726658</v>
      </c>
      <c r="D32" s="932">
        <f>C32</f>
        <v>778660410.69726658</v>
      </c>
      <c r="E32" s="932">
        <f>D32</f>
        <v>778660410.69726658</v>
      </c>
      <c r="F32" s="932">
        <f>E32</f>
        <v>778660410.69726658</v>
      </c>
      <c r="G32" s="932">
        <f>F32</f>
        <v>778660410.69726658</v>
      </c>
    </row>
    <row r="33" spans="1:10">
      <c r="A33" s="931" t="s">
        <v>1021</v>
      </c>
      <c r="B33" s="934">
        <v>0</v>
      </c>
      <c r="C33" s="932">
        <f>'F-CRes'!B15</f>
        <v>132293273.23493275</v>
      </c>
      <c r="D33" s="932">
        <f>'F-CRes'!C15</f>
        <v>511502529.23855358</v>
      </c>
      <c r="E33" s="932">
        <f>'F-CRes'!D15</f>
        <v>519518797.00357974</v>
      </c>
      <c r="F33" s="932">
        <f>'F-CRes'!E15</f>
        <v>523975008.47833842</v>
      </c>
      <c r="G33" s="933">
        <f>'F-CRes'!F15</f>
        <v>463476194.39652246</v>
      </c>
    </row>
    <row r="34" spans="1:10">
      <c r="A34" s="931" t="s">
        <v>1022</v>
      </c>
      <c r="B34" s="935">
        <v>0</v>
      </c>
      <c r="C34" s="932">
        <f>B33+B34</f>
        <v>0</v>
      </c>
      <c r="D34" s="932">
        <f>C33</f>
        <v>132293273.23493275</v>
      </c>
      <c r="E34" s="932">
        <f t="shared" ref="E34:F34" si="10">D33+D34</f>
        <v>643795802.4734863</v>
      </c>
      <c r="F34" s="932">
        <f t="shared" si="10"/>
        <v>1163314599.477066</v>
      </c>
      <c r="G34" s="932">
        <f>F33+F34</f>
        <v>1687289607.9554045</v>
      </c>
    </row>
    <row r="35" spans="1:10">
      <c r="A35" s="936" t="s">
        <v>1023</v>
      </c>
      <c r="B35" s="937">
        <f t="shared" ref="B35:G35" si="11">B31+B30</f>
        <v>374706187.57862908</v>
      </c>
      <c r="C35" s="937">
        <f t="shared" si="11"/>
        <v>955346114.82091606</v>
      </c>
      <c r="D35" s="937">
        <f t="shared" si="11"/>
        <v>1455950426.6594694</v>
      </c>
      <c r="E35" s="937">
        <f t="shared" si="11"/>
        <v>1964571006.2630494</v>
      </c>
      <c r="F35" s="937">
        <f t="shared" si="11"/>
        <v>2477647797.3413877</v>
      </c>
      <c r="G35" s="937">
        <f t="shared" si="11"/>
        <v>2930225774.3379102</v>
      </c>
      <c r="J35" t="s">
        <v>1024</v>
      </c>
    </row>
    <row r="36" spans="1:10">
      <c r="F36" s="159"/>
      <c r="G36" s="159"/>
    </row>
    <row r="38" spans="1:10">
      <c r="A38" s="872" t="s">
        <v>1025</v>
      </c>
      <c r="B38" s="873" t="str">
        <f>IF(ROUND(B24,3)=ROUND(B35,3),"OK","MAL")</f>
        <v>OK</v>
      </c>
      <c r="C38" s="873" t="str">
        <f>IF(ROUND(C24,3)=ROUND(C35,3),"OK","MAL")</f>
        <v>OK</v>
      </c>
      <c r="D38" s="873" t="str">
        <f t="shared" ref="D38:G38" si="12">IF(ROUND(D24,3)=ROUND(D35,3),"OK","MAL")</f>
        <v>OK</v>
      </c>
      <c r="E38" s="873" t="str">
        <f t="shared" si="12"/>
        <v>OK</v>
      </c>
      <c r="F38" s="873" t="str">
        <f>IF(ROUND(F24,3)=ROUND(F35,3),"OK","MAL")</f>
        <v>OK</v>
      </c>
      <c r="G38" s="873" t="str">
        <f t="shared" si="12"/>
        <v>OK</v>
      </c>
    </row>
    <row r="40" spans="1:10">
      <c r="A40" t="s">
        <v>1026</v>
      </c>
      <c r="B40" s="814">
        <f>B24-B35</f>
        <v>0</v>
      </c>
      <c r="C40" s="814">
        <f t="shared" ref="C40:F40" si="13">C24-C35</f>
        <v>0</v>
      </c>
      <c r="D40" s="814">
        <f>D24-D35</f>
        <v>0</v>
      </c>
      <c r="E40" s="814">
        <f t="shared" si="13"/>
        <v>0</v>
      </c>
      <c r="F40" s="814">
        <f t="shared" si="13"/>
        <v>0</v>
      </c>
      <c r="G40" s="814">
        <f>G24-G35</f>
        <v>0</v>
      </c>
    </row>
  </sheetData>
  <conditionalFormatting sqref="B38:G38">
    <cfRule type="cellIs" dxfId="11" priority="12" operator="equal">
      <formula>"OK"</formula>
    </cfRule>
  </conditionalFormatting>
  <conditionalFormatting sqref="B38:G38">
    <cfRule type="cellIs" dxfId="10" priority="11" operator="equal">
      <formula>"MAL"</formula>
    </cfRule>
  </conditionalFormatting>
  <conditionalFormatting sqref="C38">
    <cfRule type="cellIs" dxfId="9" priority="10" operator="equal">
      <formula>"OK"</formula>
    </cfRule>
  </conditionalFormatting>
  <conditionalFormatting sqref="C38">
    <cfRule type="cellIs" dxfId="8" priority="9" operator="equal">
      <formula>"MAL"</formula>
    </cfRule>
  </conditionalFormatting>
  <conditionalFormatting sqref="D38">
    <cfRule type="cellIs" dxfId="7" priority="8" operator="equal">
      <formula>"OK"</formula>
    </cfRule>
  </conditionalFormatting>
  <conditionalFormatting sqref="D38">
    <cfRule type="cellIs" dxfId="6" priority="7" operator="equal">
      <formula>"MAL"</formula>
    </cfRule>
  </conditionalFormatting>
  <conditionalFormatting sqref="E38">
    <cfRule type="cellIs" dxfId="5" priority="13" operator="equal">
      <formula>"OK"</formula>
    </cfRule>
  </conditionalFormatting>
  <conditionalFormatting sqref="E38">
    <cfRule type="cellIs" dxfId="4" priority="14" operator="equal">
      <formula>"MAL"</formula>
    </cfRule>
  </conditionalFormatting>
  <conditionalFormatting sqref="F38">
    <cfRule type="cellIs" dxfId="3" priority="15" operator="equal">
      <formula>"OK"</formula>
    </cfRule>
  </conditionalFormatting>
  <conditionalFormatting sqref="F38">
    <cfRule type="cellIs" dxfId="2" priority="16" operator="equal">
      <formula>"MAL"</formula>
    </cfRule>
  </conditionalFormatting>
  <conditionalFormatting sqref="G38">
    <cfRule type="cellIs" dxfId="1" priority="17" operator="equal">
      <formula>"OK"</formula>
    </cfRule>
  </conditionalFormatting>
  <conditionalFormatting sqref="G38">
    <cfRule type="cellIs" dxfId="0" priority="18" operator="equal">
      <formula>"MAL"</formula>
    </cfRule>
  </conditionalFormatting>
  <pageMargins left="0.7" right="0.7" top="0.75" bottom="0.75" header="0.3" footer="0.3"/>
  <ignoredErrors>
    <ignoredError sqref="D22" evalError="1"/>
  </ignoredErrors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72F-2C94-47F8-A8E4-484FDC11C2B7}">
  <sheetPr>
    <tabColor rgb="FFFFFF00"/>
  </sheetPr>
  <dimension ref="A1:O40"/>
  <sheetViews>
    <sheetView tabSelected="1" topLeftCell="C17" workbookViewId="0">
      <selection activeCell="D37" sqref="D37"/>
    </sheetView>
  </sheetViews>
  <sheetFormatPr baseColWidth="10" defaultColWidth="8.85546875" defaultRowHeight="12.75"/>
  <cols>
    <col min="1" max="1" width="19.7109375" customWidth="1"/>
    <col min="2" max="2" width="16.85546875" bestFit="1" customWidth="1"/>
    <col min="3" max="3" width="32" bestFit="1" customWidth="1"/>
    <col min="4" max="4" width="19.7109375" customWidth="1"/>
    <col min="5" max="5" width="21.28515625" bestFit="1" customWidth="1"/>
    <col min="6" max="6" width="21.140625" bestFit="1" customWidth="1"/>
    <col min="7" max="7" width="21.7109375" bestFit="1" customWidth="1"/>
    <col min="8" max="8" width="21.140625" bestFit="1" customWidth="1"/>
    <col min="9" max="9" width="17.85546875" bestFit="1" customWidth="1"/>
    <col min="10" max="14" width="19.7109375" customWidth="1"/>
    <col min="15" max="15" width="16.85546875" bestFit="1" customWidth="1"/>
  </cols>
  <sheetData>
    <row r="1" spans="1:15">
      <c r="A1" s="586" t="s">
        <v>56</v>
      </c>
      <c r="B1" s="587"/>
      <c r="C1" s="587"/>
      <c r="D1" s="587"/>
      <c r="E1" s="587"/>
      <c r="F1" s="587"/>
      <c r="G1" s="606">
        <v>9</v>
      </c>
      <c r="H1" s="158"/>
      <c r="I1" s="158"/>
      <c r="J1" s="158"/>
      <c r="K1" s="158"/>
      <c r="L1" s="158"/>
      <c r="M1" s="158"/>
      <c r="N1" s="158"/>
    </row>
    <row r="2" spans="1: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5.75">
      <c r="A3" s="608" t="s">
        <v>1027</v>
      </c>
      <c r="B3" s="609"/>
      <c r="C3" s="609"/>
      <c r="D3" s="609"/>
      <c r="E3" s="610" t="s">
        <v>200</v>
      </c>
      <c r="F3" s="610" t="s">
        <v>200</v>
      </c>
      <c r="G3" s="610" t="s">
        <v>200</v>
      </c>
      <c r="H3" s="610" t="s">
        <v>200</v>
      </c>
      <c r="I3" s="610" t="s">
        <v>200</v>
      </c>
      <c r="J3" s="610" t="s">
        <v>200</v>
      </c>
      <c r="K3" s="610" t="s">
        <v>200</v>
      </c>
      <c r="L3" s="610" t="s">
        <v>200</v>
      </c>
      <c r="M3" s="610" t="s">
        <v>200</v>
      </c>
      <c r="N3" s="592" t="s">
        <v>200</v>
      </c>
    </row>
    <row r="4" spans="1:15" ht="25.5">
      <c r="A4" s="599" t="s">
        <v>672</v>
      </c>
      <c r="B4" s="643" t="s">
        <v>983</v>
      </c>
      <c r="C4" s="643" t="s">
        <v>1028</v>
      </c>
      <c r="D4" s="643" t="s">
        <v>675</v>
      </c>
      <c r="E4" s="643" t="s">
        <v>61</v>
      </c>
      <c r="F4" s="643" t="s">
        <v>676</v>
      </c>
      <c r="G4" s="643" t="s">
        <v>677</v>
      </c>
      <c r="H4" s="643" t="s">
        <v>1029</v>
      </c>
      <c r="I4" s="643" t="s">
        <v>1030</v>
      </c>
      <c r="J4" s="643" t="s">
        <v>295</v>
      </c>
      <c r="K4" s="643" t="s">
        <v>679</v>
      </c>
      <c r="L4" s="643" t="s">
        <v>680</v>
      </c>
      <c r="M4" s="724" t="s">
        <v>681</v>
      </c>
      <c r="N4" s="725" t="s">
        <v>682</v>
      </c>
    </row>
    <row r="5" spans="1:15">
      <c r="A5" s="644">
        <v>0</v>
      </c>
      <c r="B5" s="620">
        <f>'F- CFyU'!B15</f>
        <v>306660393.89125001</v>
      </c>
      <c r="C5" s="620">
        <f>'F- CFyU'!B$16</f>
        <v>3567673.5464599999</v>
      </c>
      <c r="D5" s="620">
        <f>'F-IVA'!B17</f>
        <v>64478120.140919097</v>
      </c>
      <c r="F5" s="814"/>
      <c r="G5" s="731">
        <f t="shared" ref="G5:G10" si="0">SUM(B5:F5)</f>
        <v>374706187.57862908</v>
      </c>
      <c r="H5" s="620" t="s">
        <v>200</v>
      </c>
      <c r="I5" s="731">
        <f>'F-Cred'!G18+'F-Cred'!I18</f>
        <v>14438247.109999999</v>
      </c>
      <c r="J5" s="731" t="s">
        <v>200</v>
      </c>
      <c r="K5" s="620" t="s">
        <v>200</v>
      </c>
      <c r="L5" s="731">
        <f t="shared" ref="L5:L10" si="1">SUM(H5:K5)</f>
        <v>14438247.109999999</v>
      </c>
      <c r="M5" s="831">
        <f t="shared" ref="M5:M10" si="2">L5-G5</f>
        <v>-360267940.46862906</v>
      </c>
      <c r="N5" s="830">
        <f>M5</f>
        <v>-360267940.46862906</v>
      </c>
      <c r="O5" s="940"/>
    </row>
    <row r="6" spans="1:15">
      <c r="A6" s="646">
        <v>1</v>
      </c>
      <c r="B6" s="620">
        <f>'F- CFyU'!C15</f>
        <v>169077445.80204773</v>
      </c>
      <c r="C6" s="620">
        <f>'F- CFyU'!C16</f>
        <v>229484208.2578676</v>
      </c>
      <c r="D6" s="620">
        <f>'F-IVA'!C17</f>
        <v>79797701.432636261</v>
      </c>
      <c r="E6" s="620">
        <f>'F-CRes'!B12</f>
        <v>15966429.528353956</v>
      </c>
      <c r="F6" s="620">
        <f>'F-CRes'!B14</f>
        <v>79832147.641769767</v>
      </c>
      <c r="G6" s="731">
        <f t="shared" si="0"/>
        <v>574157932.66267526</v>
      </c>
      <c r="H6" s="620">
        <f>'F-CRes'!B11</f>
        <v>228091850.40505648</v>
      </c>
      <c r="I6" s="731">
        <f>'F-Cred'!G20</f>
        <v>31999385.563937999</v>
      </c>
      <c r="J6" s="731">
        <f>'F- CFyU'!C27</f>
        <v>73308560.107492864</v>
      </c>
      <c r="K6" s="620">
        <f>'F-IVA'!C19</f>
        <v>93753725.518354058</v>
      </c>
      <c r="L6" s="731">
        <f t="shared" si="1"/>
        <v>427153521.59484136</v>
      </c>
      <c r="M6" s="831">
        <f t="shared" si="2"/>
        <v>-147004411.0678339</v>
      </c>
      <c r="N6" s="830">
        <f>M6+N5</f>
        <v>-507272351.53646296</v>
      </c>
      <c r="O6" s="940"/>
    </row>
    <row r="7" spans="1:15">
      <c r="A7" s="646">
        <v>2</v>
      </c>
      <c r="B7" s="620" t="s">
        <v>200</v>
      </c>
      <c r="C7" s="620">
        <f>'F- CFyU'!D16</f>
        <v>65306842.570244968</v>
      </c>
      <c r="D7" s="620">
        <f>'F-IVA'!D17</f>
        <v>13953987.884408584</v>
      </c>
      <c r="E7" s="620">
        <f>'F-CRes'!C12</f>
        <v>61733063.873618551</v>
      </c>
      <c r="F7" s="620">
        <f>'F-CRes'!C14</f>
        <v>308665319.36809272</v>
      </c>
      <c r="G7" s="731">
        <f t="shared" si="0"/>
        <v>449659213.69636482</v>
      </c>
      <c r="H7" s="620">
        <f>'F-CRes'!C11</f>
        <v>881900912.4802649</v>
      </c>
      <c r="I7" s="731">
        <f>'F-Cred'!$G22</f>
        <v>29587304.038938001</v>
      </c>
      <c r="J7" s="731">
        <f>'F- CFyU'!D27</f>
        <v>73308560.107492864</v>
      </c>
      <c r="K7" s="620">
        <f>'F-IVA'!D19</f>
        <v>64476083.939609878</v>
      </c>
      <c r="L7" s="731">
        <f t="shared" si="1"/>
        <v>1049272860.5663058</v>
      </c>
      <c r="M7" s="831">
        <f t="shared" si="2"/>
        <v>599613646.869941</v>
      </c>
      <c r="N7" s="830">
        <f>M7+N6</f>
        <v>92341295.333478034</v>
      </c>
      <c r="O7" s="940"/>
    </row>
    <row r="8" spans="1:15">
      <c r="A8" s="646">
        <v>3</v>
      </c>
      <c r="B8" s="620" t="s">
        <v>200</v>
      </c>
      <c r="C8" s="620">
        <f>'F- CFyU'!E16</f>
        <v>-1014.5323427319527</v>
      </c>
      <c r="D8" s="620">
        <f>'F-IVA'!E17</f>
        <v>-213.05179196764715</v>
      </c>
      <c r="E8" s="620">
        <f>'F-CRes'!D12</f>
        <v>62700544.465949282</v>
      </c>
      <c r="F8" s="620">
        <f>'F-CRes'!D14</f>
        <v>313502722.32974637</v>
      </c>
      <c r="G8" s="731">
        <f t="shared" si="0"/>
        <v>376202039.21156096</v>
      </c>
      <c r="H8" s="620">
        <f>'F-CRes'!D11</f>
        <v>895722063.7992754</v>
      </c>
      <c r="I8" s="731">
        <f>'F-Cred'!$G24</f>
        <v>21905195.338937998</v>
      </c>
      <c r="J8" s="731">
        <f>'F- CFyU'!E27</f>
        <v>73308560.107492864</v>
      </c>
      <c r="K8" s="620">
        <f>'F-IVA'!E19</f>
        <v>-213.05179196764715</v>
      </c>
      <c r="L8" s="731">
        <f t="shared" si="1"/>
        <v>990935606.19391429</v>
      </c>
      <c r="M8" s="831">
        <f t="shared" si="2"/>
        <v>614733566.98235333</v>
      </c>
      <c r="N8" s="830">
        <f>M8+N7</f>
        <v>707074862.31583142</v>
      </c>
      <c r="O8" s="940"/>
    </row>
    <row r="9" spans="1:15">
      <c r="A9" s="646">
        <v>4</v>
      </c>
      <c r="B9" s="620" t="s">
        <v>200</v>
      </c>
      <c r="C9" s="620">
        <f>'F- CFyU'!G16</f>
        <v>0</v>
      </c>
      <c r="D9" s="620">
        <f>'F-IVA'!F17</f>
        <v>0</v>
      </c>
      <c r="E9" s="620">
        <f>'F-CRes'!E12</f>
        <v>63238363.092213266</v>
      </c>
      <c r="F9" s="620">
        <f>'F-CRes'!E14</f>
        <v>316191815.46106631</v>
      </c>
      <c r="G9" s="731">
        <f t="shared" si="0"/>
        <v>379430178.55327958</v>
      </c>
      <c r="H9" s="620">
        <f>'F-CRes'!E11</f>
        <v>903405187.031618</v>
      </c>
      <c r="I9" s="731">
        <f>'F-Cred'!$G26</f>
        <v>14223086.638937999</v>
      </c>
      <c r="J9" s="731">
        <f>'F- CFyU'!F27</f>
        <v>68495811.070826203</v>
      </c>
      <c r="K9" s="620">
        <f>'F-IVA'!F19</f>
        <v>0</v>
      </c>
      <c r="L9" s="731">
        <f t="shared" si="1"/>
        <v>986124084.74138212</v>
      </c>
      <c r="M9" s="831">
        <f t="shared" si="2"/>
        <v>606693906.18810248</v>
      </c>
      <c r="N9" s="830">
        <f>M9+N8</f>
        <v>1313768768.5039339</v>
      </c>
      <c r="O9" s="940"/>
    </row>
    <row r="10" spans="1:15">
      <c r="A10" s="646">
        <v>5</v>
      </c>
      <c r="B10" s="620">
        <f>-'E-Inv AF y Am'!G57</f>
        <v>-118820537.22916667</v>
      </c>
      <c r="C10" s="620">
        <f>'F- CFyU'!G16-'F- CFyU'!H16</f>
        <v>-298357709.84222984</v>
      </c>
      <c r="D10" s="620">
        <f>'F-IVA'!G17</f>
        <v>0</v>
      </c>
      <c r="E10" s="620">
        <f>'F-CRes'!F12</f>
        <v>55936782.082338922</v>
      </c>
      <c r="F10" s="620">
        <f>'F-CRes'!F14</f>
        <v>279683910.41169459</v>
      </c>
      <c r="G10" s="731">
        <f t="shared" si="0"/>
        <v>-81557554.577363014</v>
      </c>
      <c r="H10" s="620">
        <f>'F-CRes'!F11</f>
        <v>799096886.89055598</v>
      </c>
      <c r="I10" s="731">
        <f>'F-Cred'!$G28</f>
        <v>6540977.9389380002</v>
      </c>
      <c r="J10" s="731">
        <f>'F- CFyU'!G27</f>
        <v>68495811.070826203</v>
      </c>
      <c r="K10" s="620">
        <f>'F-IVA'!G19</f>
        <v>0</v>
      </c>
      <c r="L10" s="731">
        <f t="shared" si="1"/>
        <v>874133675.90032017</v>
      </c>
      <c r="M10" s="831">
        <f t="shared" si="2"/>
        <v>955691230.47768319</v>
      </c>
      <c r="N10" s="830">
        <f>M10+N9</f>
        <v>2269459998.981617</v>
      </c>
      <c r="O10" s="940"/>
    </row>
    <row r="11" spans="1:15">
      <c r="A11" s="646" t="s">
        <v>200</v>
      </c>
      <c r="B11" s="620" t="s">
        <v>200</v>
      </c>
      <c r="C11" s="620" t="s">
        <v>200</v>
      </c>
      <c r="D11" s="620" t="s">
        <v>200</v>
      </c>
      <c r="E11" s="620" t="s">
        <v>200</v>
      </c>
      <c r="F11" s="620" t="s">
        <v>200</v>
      </c>
      <c r="G11" s="731" t="s">
        <v>200</v>
      </c>
      <c r="H11" s="620" t="s">
        <v>200</v>
      </c>
      <c r="I11" s="731" t="s">
        <v>200</v>
      </c>
      <c r="J11" s="731" t="s">
        <v>200</v>
      </c>
      <c r="K11" s="620" t="s">
        <v>200</v>
      </c>
      <c r="L11" s="731" t="s">
        <v>200</v>
      </c>
      <c r="M11" s="621" t="s">
        <v>200</v>
      </c>
      <c r="N11" s="622" t="s">
        <v>200</v>
      </c>
    </row>
    <row r="12" spans="1:15">
      <c r="A12" s="647" t="s">
        <v>683</v>
      </c>
      <c r="B12" s="623">
        <f>SUM(B5:B10)</f>
        <v>356917302.46413106</v>
      </c>
      <c r="C12" s="623">
        <f>SUM(C5:C10)</f>
        <v>0</v>
      </c>
      <c r="D12" s="623">
        <f>SUM(D5:D10)</f>
        <v>158229596.40617198</v>
      </c>
      <c r="E12" s="623">
        <f>SUM(E6:E10)</f>
        <v>259575183.04247397</v>
      </c>
      <c r="F12" s="623">
        <f>SUM(F6:F10)</f>
        <v>1297875915.2123697</v>
      </c>
      <c r="G12" s="820">
        <f t="shared" ref="G12:N12" si="3">SUM(G5:G10)</f>
        <v>2072597997.1251469</v>
      </c>
      <c r="H12" s="623">
        <f t="shared" si="3"/>
        <v>3708216900.6067705</v>
      </c>
      <c r="I12" s="820">
        <f t="shared" si="3"/>
        <v>118694196.62968999</v>
      </c>
      <c r="J12" s="820">
        <f t="shared" si="3"/>
        <v>356917302.464131</v>
      </c>
      <c r="K12" s="623">
        <f t="shared" si="3"/>
        <v>158229596.40617198</v>
      </c>
      <c r="L12" s="820">
        <f t="shared" si="3"/>
        <v>4342057996.1067638</v>
      </c>
      <c r="M12" s="623">
        <f t="shared" si="3"/>
        <v>2269459998.981617</v>
      </c>
      <c r="N12" s="623">
        <f t="shared" si="3"/>
        <v>3515104633.1297684</v>
      </c>
    </row>
    <row r="13" spans="1:15">
      <c r="A13" s="158"/>
      <c r="B13" s="158"/>
      <c r="C13" s="158">
        <f>'E-Costos'!C131+B13</f>
        <v>1388447.4194900237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5">
      <c r="A14" s="158"/>
      <c r="B14" s="158"/>
      <c r="C14" s="158" t="s">
        <v>684</v>
      </c>
      <c r="D14" s="822">
        <f>M12</f>
        <v>2269459998.981617</v>
      </c>
      <c r="E14" s="158"/>
      <c r="F14" s="158"/>
      <c r="G14" s="158"/>
      <c r="H14" s="819"/>
      <c r="I14" s="158"/>
      <c r="J14" s="158"/>
      <c r="K14" s="158"/>
      <c r="L14" s="158"/>
      <c r="M14" s="158"/>
      <c r="N14" s="158"/>
    </row>
    <row r="15" spans="1:15">
      <c r="A15" s="595"/>
      <c r="B15" s="158"/>
      <c r="C15" s="158" t="s">
        <v>685</v>
      </c>
      <c r="D15" s="726">
        <f>A8-N10/M10</f>
        <v>0.62532089172015048</v>
      </c>
      <c r="E15" s="158" t="s">
        <v>1031</v>
      </c>
      <c r="F15" s="158"/>
      <c r="G15" s="158"/>
      <c r="H15" s="819"/>
      <c r="I15" s="158"/>
      <c r="J15" s="158"/>
      <c r="K15" s="158"/>
      <c r="L15" s="158"/>
      <c r="M15" s="158"/>
      <c r="N15" s="158"/>
    </row>
    <row r="16" spans="1:15">
      <c r="A16" s="158"/>
      <c r="B16" s="158"/>
      <c r="C16" s="158" t="s">
        <v>1032</v>
      </c>
      <c r="D16" s="829">
        <f>IRR(M5:M10)</f>
        <v>0.73449663690663902</v>
      </c>
      <c r="E16" s="158"/>
      <c r="F16" s="158"/>
      <c r="G16" s="158"/>
      <c r="H16" s="158"/>
      <c r="I16" s="158"/>
      <c r="J16" s="595"/>
      <c r="K16" s="158"/>
      <c r="L16" s="158"/>
      <c r="M16" s="158"/>
      <c r="N16" s="158"/>
    </row>
    <row r="17" spans="1:14">
      <c r="A17" s="158"/>
      <c r="B17" s="158"/>
      <c r="C17" s="158" t="s">
        <v>1033</v>
      </c>
      <c r="D17" s="942">
        <f>NPV(D19,M6:M10)+M5</f>
        <v>505487933.13154656</v>
      </c>
      <c r="F17" s="158" t="s">
        <v>1033</v>
      </c>
      <c r="G17" s="158"/>
      <c r="H17" s="158"/>
      <c r="I17" s="158"/>
      <c r="J17" s="727"/>
      <c r="K17" s="158"/>
      <c r="L17" s="158"/>
      <c r="M17" s="158"/>
      <c r="N17" s="158"/>
    </row>
    <row r="18" spans="1:14">
      <c r="A18" s="158"/>
      <c r="B18" s="158"/>
      <c r="D18" s="726" t="s">
        <v>200</v>
      </c>
      <c r="E18" s="158"/>
      <c r="F18" s="158"/>
      <c r="G18" s="158"/>
      <c r="H18" s="158"/>
      <c r="I18" s="158"/>
      <c r="J18" s="727"/>
      <c r="K18" s="158"/>
      <c r="L18" s="158"/>
      <c r="M18" s="158"/>
      <c r="N18" s="158"/>
    </row>
    <row r="19" spans="1:14" ht="15.75">
      <c r="A19" s="728"/>
      <c r="B19" s="158"/>
      <c r="C19" s="158" t="s">
        <v>1034</v>
      </c>
      <c r="D19" s="941">
        <v>0.35</v>
      </c>
      <c r="E19" s="158"/>
      <c r="F19" s="158"/>
      <c r="G19" s="158"/>
      <c r="H19" s="158"/>
      <c r="I19" s="158"/>
      <c r="J19" s="727"/>
      <c r="K19" s="158"/>
      <c r="L19" s="158"/>
      <c r="M19" s="158"/>
      <c r="N19" s="158"/>
    </row>
    <row r="20" spans="1:14">
      <c r="A20" s="158"/>
      <c r="B20" s="158"/>
      <c r="C20" s="158"/>
      <c r="D20" s="158"/>
      <c r="E20" s="158"/>
      <c r="F20" s="158"/>
      <c r="G20" s="158"/>
      <c r="H20" s="158"/>
      <c r="I20" s="158"/>
      <c r="J20" s="727"/>
      <c r="K20" s="158"/>
      <c r="L20" s="158"/>
      <c r="M20" s="158"/>
      <c r="N20" s="158"/>
    </row>
    <row r="21" spans="1:14">
      <c r="A21" s="595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2.75" customHeight="1">
      <c r="A22" s="608" t="s">
        <v>1035</v>
      </c>
      <c r="B22" s="609"/>
      <c r="C22" s="609"/>
      <c r="D22" s="610" t="s">
        <v>200</v>
      </c>
      <c r="E22" s="610" t="s">
        <v>200</v>
      </c>
      <c r="F22" s="610" t="s">
        <v>200</v>
      </c>
      <c r="G22" s="610" t="s">
        <v>200</v>
      </c>
      <c r="H22" s="592" t="s">
        <v>200</v>
      </c>
      <c r="I22" s="158"/>
      <c r="J22" s="158"/>
      <c r="K22" s="158"/>
      <c r="L22" s="158"/>
      <c r="M22" s="158"/>
      <c r="N22" s="158"/>
    </row>
    <row r="23" spans="1:14" ht="12.75" customHeight="1">
      <c r="A23" s="599" t="s">
        <v>672</v>
      </c>
      <c r="B23" s="643" t="s">
        <v>1036</v>
      </c>
      <c r="C23" s="643" t="s">
        <v>677</v>
      </c>
      <c r="D23" s="643" t="s">
        <v>988</v>
      </c>
      <c r="E23" s="643" t="s">
        <v>1037</v>
      </c>
      <c r="F23" s="643" t="s">
        <v>680</v>
      </c>
      <c r="G23" s="724" t="s">
        <v>681</v>
      </c>
      <c r="H23" s="725" t="s">
        <v>682</v>
      </c>
      <c r="I23" s="158"/>
      <c r="J23" s="158"/>
      <c r="K23" s="1070" t="s">
        <v>687</v>
      </c>
      <c r="L23" s="1071"/>
      <c r="M23" s="158"/>
      <c r="N23" s="158"/>
    </row>
    <row r="24" spans="1:14">
      <c r="A24" s="644">
        <v>0</v>
      </c>
      <c r="B24" s="620">
        <f>'F-2 Estructura'!B31</f>
        <v>320215100.57862908</v>
      </c>
      <c r="C24" s="620">
        <f t="shared" ref="C24:C29" si="4">B24</f>
        <v>320215100.57862908</v>
      </c>
      <c r="D24" s="620" t="str">
        <f>'F- CFyU'!B21</f>
        <v xml:space="preserve"> $                   -  </v>
      </c>
      <c r="E24" s="620" t="s">
        <v>200</v>
      </c>
      <c r="F24" s="620">
        <f t="shared" ref="F24:F29" si="5">SUM(D24:E24)</f>
        <v>0</v>
      </c>
      <c r="G24" s="621">
        <f t="shared" ref="G24:G29" si="6">F24-C24</f>
        <v>-320215100.57862908</v>
      </c>
      <c r="H24" s="622">
        <f>G24</f>
        <v>-320215100.57862908</v>
      </c>
      <c r="I24" s="158"/>
      <c r="J24" s="158"/>
      <c r="K24" s="1070" t="s">
        <v>688</v>
      </c>
      <c r="L24" s="1071"/>
      <c r="M24" s="158"/>
      <c r="N24" s="158"/>
    </row>
    <row r="25" spans="1:14">
      <c r="A25" s="646">
        <v>1</v>
      </c>
      <c r="B25" s="620">
        <f>'F-2 Estructura'!C31</f>
        <v>458445310.11863756</v>
      </c>
      <c r="C25" s="620">
        <f t="shared" si="4"/>
        <v>458445310.11863756</v>
      </c>
      <c r="D25" s="620" t="str">
        <f>'F- CFyU'!C21</f>
        <v xml:space="preserve"> $                   -  </v>
      </c>
      <c r="E25" s="620">
        <f>'F- CFyU'!C30</f>
        <v>269342857.3755824</v>
      </c>
      <c r="F25" s="620">
        <f t="shared" si="5"/>
        <v>269342857.3755824</v>
      </c>
      <c r="G25" s="621">
        <f t="shared" si="6"/>
        <v>-189102452.74305516</v>
      </c>
      <c r="H25" s="622">
        <f>G25+H24</f>
        <v>-509317553.32168424</v>
      </c>
      <c r="I25" s="158"/>
      <c r="J25" s="158"/>
      <c r="K25" s="832" t="s">
        <v>295</v>
      </c>
      <c r="L25" s="833" t="str">
        <f>IF(B12=J12,"OK","MAL")</f>
        <v>OK</v>
      </c>
      <c r="M25" s="158"/>
      <c r="N25" s="158"/>
    </row>
    <row r="26" spans="1:14">
      <c r="A26" s="646">
        <v>2</v>
      </c>
      <c r="B26" s="620">
        <v>0</v>
      </c>
      <c r="C26" s="620">
        <f t="shared" si="4"/>
        <v>0</v>
      </c>
      <c r="D26" s="620" t="str">
        <f>'F- CFyU'!D21</f>
        <v xml:space="preserve"> $                   -  </v>
      </c>
      <c r="E26" s="620">
        <f>'F- CFyU'!D30</f>
        <v>559128125.43100262</v>
      </c>
      <c r="F26" s="620">
        <f t="shared" si="5"/>
        <v>559128125.43100262</v>
      </c>
      <c r="G26" s="621">
        <f t="shared" si="6"/>
        <v>559128125.43100262</v>
      </c>
      <c r="H26" s="622">
        <f>G26+H25</f>
        <v>49810572.109318376</v>
      </c>
      <c r="I26" s="158"/>
      <c r="J26" s="158"/>
      <c r="K26" s="832" t="s">
        <v>689</v>
      </c>
      <c r="L26" s="833" t="str">
        <f>IF(D12=K12,"OK","MAL")</f>
        <v>OK</v>
      </c>
      <c r="M26" s="158"/>
      <c r="N26" s="158"/>
    </row>
    <row r="27" spans="1:14">
      <c r="A27" s="646">
        <v>3</v>
      </c>
      <c r="B27" s="620">
        <v>0</v>
      </c>
      <c r="C27" s="620">
        <f t="shared" si="4"/>
        <v>0</v>
      </c>
      <c r="D27" s="620" t="str">
        <f>'F- CFyU'!E21</f>
        <v xml:space="preserve"> $                   -  </v>
      </c>
      <c r="E27" s="620">
        <f>'F- CFyU'!E30</f>
        <v>581930154.24341512</v>
      </c>
      <c r="F27" s="620">
        <f t="shared" si="5"/>
        <v>581930154.24341512</v>
      </c>
      <c r="G27" s="621">
        <f t="shared" si="6"/>
        <v>581930154.24341512</v>
      </c>
      <c r="H27" s="622">
        <f>G27+H26</f>
        <v>631740726.35273349</v>
      </c>
      <c r="I27" s="158"/>
      <c r="J27" s="158"/>
      <c r="K27" s="832" t="s">
        <v>690</v>
      </c>
      <c r="L27" s="833" t="str">
        <f>IF(C12=0,"OK","MAL")</f>
        <v>OK</v>
      </c>
      <c r="M27" s="158"/>
      <c r="N27" s="158"/>
    </row>
    <row r="28" spans="1:14">
      <c r="A28" s="646">
        <v>4</v>
      </c>
      <c r="B28" s="620">
        <v>0</v>
      </c>
      <c r="C28" s="620">
        <f t="shared" si="4"/>
        <v>0</v>
      </c>
      <c r="D28" s="620">
        <f>'F- CFyU'!F2</f>
        <v>0</v>
      </c>
      <c r="E28" s="620">
        <f>'F- CFyU'!F30</f>
        <v>581572602.14916492</v>
      </c>
      <c r="F28" s="620">
        <f t="shared" si="5"/>
        <v>581572602.14916492</v>
      </c>
      <c r="G28" s="621">
        <f t="shared" si="6"/>
        <v>581572602.14916492</v>
      </c>
      <c r="H28" s="622">
        <f>G28+H27</f>
        <v>1213313328.5018983</v>
      </c>
      <c r="I28" s="158"/>
      <c r="J28" s="158"/>
      <c r="K28" s="832" t="s">
        <v>691</v>
      </c>
      <c r="L28" s="833" t="str">
        <f>IF((H12-F12-E12+I12)=M12,IF(M12=N10,"OK","MAL"),"MAL")</f>
        <v>OK</v>
      </c>
      <c r="M28" s="158"/>
      <c r="N28" s="158"/>
    </row>
    <row r="29" spans="1:14">
      <c r="A29" s="646">
        <v>5</v>
      </c>
      <c r="B29" s="620">
        <f>B10+C10+'F-Cred'!D6</f>
        <v>-416378685.78267986</v>
      </c>
      <c r="C29" s="620">
        <f t="shared" si="4"/>
        <v>-416378685.78267986</v>
      </c>
      <c r="D29" s="620" t="str">
        <f>'F- CFyU'!G21</f>
        <v xml:space="preserve"> $                   -  </v>
      </c>
      <c r="E29" s="620">
        <f>'F- CFyU'!G30</f>
        <v>521073788.0673492</v>
      </c>
      <c r="F29" s="620">
        <f t="shared" si="5"/>
        <v>521073788.0673492</v>
      </c>
      <c r="G29" s="621">
        <f t="shared" si="6"/>
        <v>937452473.85002899</v>
      </c>
      <c r="H29" s="622">
        <f>G29+H28</f>
        <v>2150765802.3519273</v>
      </c>
      <c r="I29" s="158"/>
      <c r="J29" s="158"/>
      <c r="K29" s="1070" t="s">
        <v>1038</v>
      </c>
      <c r="L29" s="1071"/>
      <c r="M29" s="158"/>
      <c r="N29" s="158"/>
    </row>
    <row r="30" spans="1:14">
      <c r="A30" s="646" t="s">
        <v>200</v>
      </c>
      <c r="B30" s="620" t="s">
        <v>200</v>
      </c>
      <c r="C30" s="620" t="s">
        <v>200</v>
      </c>
      <c r="D30" s="620" t="s">
        <v>200</v>
      </c>
      <c r="E30" s="620" t="s">
        <v>200</v>
      </c>
      <c r="F30" s="620" t="s">
        <v>200</v>
      </c>
      <c r="G30" s="621" t="s">
        <v>200</v>
      </c>
      <c r="H30" s="622" t="s">
        <v>200</v>
      </c>
      <c r="I30" s="158"/>
      <c r="J30" s="158"/>
      <c r="K30" s="832" t="s">
        <v>1039</v>
      </c>
      <c r="L30" s="833" t="str">
        <f>IF((H12-E12-F12)=G31,"OK","MAL")</f>
        <v>OK</v>
      </c>
      <c r="M30" s="158"/>
      <c r="N30" s="158"/>
    </row>
    <row r="31" spans="1:14" ht="15">
      <c r="A31" s="647" t="s">
        <v>683</v>
      </c>
      <c r="B31" s="623">
        <f t="shared" ref="B31:H31" si="7">SUM(B24:B29)</f>
        <v>362281724.91458672</v>
      </c>
      <c r="C31" s="623">
        <f t="shared" si="7"/>
        <v>362281724.91458672</v>
      </c>
      <c r="D31" s="623">
        <f t="shared" si="7"/>
        <v>0</v>
      </c>
      <c r="E31" s="623">
        <f t="shared" si="7"/>
        <v>2513047527.2665143</v>
      </c>
      <c r="F31" s="623">
        <f t="shared" si="7"/>
        <v>2513047527.2665143</v>
      </c>
      <c r="G31" s="623">
        <f t="shared" si="7"/>
        <v>2150765802.3519273</v>
      </c>
      <c r="H31" s="623">
        <f t="shared" si="7"/>
        <v>3216097775.4155641</v>
      </c>
      <c r="I31" s="158"/>
      <c r="J31" s="158"/>
      <c r="K31" s="832" t="s">
        <v>1040</v>
      </c>
      <c r="L31" s="833" t="str">
        <f>IF(('F- CFyU'!H30-'F- CFyU'!H7-'F- CFyU'!H8+'F- CFyU'!H15-'F- CFyU'!H27+'F- CFyU'!H16)='F- Form'!G31,"OK","MAL")</f>
        <v>OK</v>
      </c>
      <c r="M31" s="658"/>
      <c r="N31" s="158"/>
    </row>
    <row r="32" spans="1:14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832" t="s">
        <v>1041</v>
      </c>
      <c r="L32" s="833" t="str">
        <f>IF('F-CRes'!G15=G31,"OK","MAL")</f>
        <v>OK</v>
      </c>
      <c r="M32" s="158"/>
      <c r="N32" s="158"/>
    </row>
    <row r="33" spans="1:14" ht="15">
      <c r="A33" s="158"/>
      <c r="B33" s="158"/>
      <c r="C33" s="158"/>
      <c r="D33" s="158"/>
      <c r="E33" s="158"/>
      <c r="F33" s="158"/>
      <c r="G33" s="819"/>
      <c r="H33" s="939"/>
      <c r="I33" s="939"/>
      <c r="J33" s="158"/>
      <c r="K33" s="832" t="s">
        <v>1042</v>
      </c>
      <c r="L33" s="833" t="str">
        <f>IF(('F-Balance'!G33+'F-Balance'!G34)='F- Form'!G31,"OK","MAL")</f>
        <v>OK</v>
      </c>
      <c r="M33" s="158"/>
      <c r="N33" s="158"/>
    </row>
    <row r="34" spans="1:14" ht="15">
      <c r="A34" s="158"/>
      <c r="B34" s="158"/>
      <c r="C34" s="158" t="s">
        <v>684</v>
      </c>
      <c r="D34" s="822">
        <f>H12-F12-E12</f>
        <v>2150765802.3519268</v>
      </c>
      <c r="E34" s="158" t="s">
        <v>1043</v>
      </c>
      <c r="F34" s="158"/>
      <c r="G34" s="158"/>
      <c r="H34" s="939"/>
      <c r="I34" s="938"/>
      <c r="J34" s="158"/>
      <c r="K34" s="832" t="s">
        <v>1044</v>
      </c>
      <c r="L34" s="833" t="str">
        <f>IF(('F- CFyU'!H10-'F- CFyU'!H17-'F- CFyU'!H20-'F- CFyU'!H18)=G31,"OK","MAL")</f>
        <v>OK</v>
      </c>
      <c r="M34" s="158"/>
      <c r="N34" s="158"/>
    </row>
    <row r="35" spans="1:14" ht="15">
      <c r="A35" s="158"/>
      <c r="B35" s="158"/>
      <c r="C35" s="158" t="s">
        <v>685</v>
      </c>
      <c r="D35" s="726">
        <f>A27-H29/G29</f>
        <v>0.70573350399414414</v>
      </c>
      <c r="E35" s="158" t="s">
        <v>1045</v>
      </c>
      <c r="F35" s="729"/>
      <c r="G35" s="158"/>
      <c r="H35" s="938"/>
      <c r="I35" s="938"/>
      <c r="J35" s="158"/>
      <c r="K35" s="1070" t="s">
        <v>1046</v>
      </c>
      <c r="L35" s="1071"/>
      <c r="M35" s="158"/>
      <c r="N35" s="158"/>
    </row>
    <row r="36" spans="1:14" ht="15">
      <c r="A36" s="158"/>
      <c r="B36" s="158"/>
      <c r="C36" s="158" t="s">
        <v>1047</v>
      </c>
      <c r="D36" s="829">
        <f>IRR(G24:G29)</f>
        <v>0.72279634591767361</v>
      </c>
      <c r="E36" s="158"/>
      <c r="F36" s="158"/>
      <c r="G36" s="158"/>
      <c r="H36" s="938"/>
      <c r="I36" s="938"/>
      <c r="J36" s="158"/>
      <c r="K36" s="832" t="s">
        <v>1048</v>
      </c>
      <c r="L36" s="833" t="str">
        <f>IF(SUM('F-Balance'!B35:G35)=SUM('F-Balance'!B24:G24),"OK","MAL")</f>
        <v>OK</v>
      </c>
      <c r="M36" s="158"/>
      <c r="N36" s="158"/>
    </row>
    <row r="37" spans="1:14" ht="15">
      <c r="C37" t="s">
        <v>1033</v>
      </c>
      <c r="D37" s="814">
        <f>NPV(D38,G25:G29)+G24</f>
        <v>467179356.88987416</v>
      </c>
      <c r="H37" s="938"/>
      <c r="I37" s="938"/>
      <c r="K37" s="729"/>
      <c r="L37" s="729"/>
    </row>
    <row r="38" spans="1:14" ht="15">
      <c r="C38" t="s">
        <v>1034</v>
      </c>
      <c r="D38" s="226">
        <v>0.35</v>
      </c>
      <c r="H38" s="938"/>
      <c r="I38" s="938"/>
      <c r="K38" s="729"/>
      <c r="L38" s="729"/>
    </row>
    <row r="40" spans="1:14" ht="15">
      <c r="L40" s="834"/>
    </row>
  </sheetData>
  <mergeCells count="4">
    <mergeCell ref="K23:L23"/>
    <mergeCell ref="K29:L29"/>
    <mergeCell ref="K35:L35"/>
    <mergeCell ref="K24:L24"/>
  </mergeCells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E7CC3"/>
    <outlinePr summaryBelow="0" summaryRight="0"/>
  </sheetPr>
  <dimension ref="A1:Z1003"/>
  <sheetViews>
    <sheetView workbookViewId="0"/>
  </sheetViews>
  <sheetFormatPr baseColWidth="10" defaultColWidth="12.7109375" defaultRowHeight="15" customHeight="1"/>
  <cols>
    <col min="1" max="1" width="17.140625" customWidth="1"/>
    <col min="2" max="6" width="14.28515625" customWidth="1"/>
    <col min="7" max="7" width="12.85546875" customWidth="1"/>
    <col min="8" max="8" width="18.7109375" customWidth="1"/>
    <col min="9" max="9" width="15.7109375" customWidth="1"/>
    <col min="10" max="10" width="20" customWidth="1"/>
    <col min="11" max="11" width="15.28515625" customWidth="1"/>
    <col min="12" max="12" width="18" customWidth="1"/>
    <col min="13" max="26" width="14.28515625" customWidth="1"/>
  </cols>
  <sheetData>
    <row r="1" spans="1:26" ht="26.25">
      <c r="A1" s="111" t="s">
        <v>1049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>
      <c r="A2" s="112" t="s">
        <v>1050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>
      <c r="D3" s="112"/>
      <c r="E3" s="112"/>
      <c r="F3" s="112"/>
      <c r="G3" s="112"/>
      <c r="H3" s="112"/>
      <c r="I3" s="112" t="s">
        <v>1051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>
      <c r="A4" s="113" t="s">
        <v>1052</v>
      </c>
      <c r="B4" s="114">
        <v>0.37</v>
      </c>
      <c r="C4" s="112" t="s">
        <v>1053</v>
      </c>
      <c r="D4" s="112"/>
      <c r="E4" s="112"/>
      <c r="F4" s="112"/>
      <c r="G4" s="112"/>
      <c r="H4" s="112"/>
      <c r="I4" s="112" t="s">
        <v>1054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>
      <c r="A5" s="113" t="s">
        <v>1055</v>
      </c>
      <c r="B5" s="115"/>
      <c r="C5" s="116" t="s">
        <v>1056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.75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8.75">
      <c r="A7" s="117" t="s">
        <v>1057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>
      <c r="A8" s="112" t="s">
        <v>1058</v>
      </c>
      <c r="B8" s="112"/>
      <c r="C8" s="112"/>
      <c r="D8" s="112"/>
      <c r="E8" s="112"/>
      <c r="F8" s="112"/>
      <c r="G8" s="112"/>
      <c r="H8" s="112"/>
      <c r="I8" s="118"/>
      <c r="J8" s="119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>
      <c r="A10" s="120" t="s">
        <v>1059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>
      <c r="A11" s="112" t="s">
        <v>1060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>
      <c r="A13" s="121"/>
      <c r="B13" s="122" t="s">
        <v>1061</v>
      </c>
      <c r="C13" s="122" t="s">
        <v>1062</v>
      </c>
      <c r="D13" s="122" t="s">
        <v>1063</v>
      </c>
      <c r="E13" s="112"/>
      <c r="F13" s="112"/>
      <c r="G13" s="112"/>
      <c r="H13" s="112"/>
      <c r="I13" s="122" t="s">
        <v>1061</v>
      </c>
      <c r="J13" s="122" t="s">
        <v>1062</v>
      </c>
      <c r="K13" s="122" t="s">
        <v>1063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>
      <c r="A14" s="123" t="s">
        <v>686</v>
      </c>
      <c r="B14" s="124"/>
      <c r="C14" s="125" t="e">
        <f>#REF!</f>
        <v>#REF!</v>
      </c>
      <c r="D14" s="124"/>
      <c r="E14" s="112"/>
      <c r="F14" s="112"/>
      <c r="G14" s="112"/>
      <c r="H14" s="112"/>
      <c r="I14" s="126">
        <f>J14*1.2</f>
        <v>540</v>
      </c>
      <c r="J14" s="124">
        <v>450</v>
      </c>
      <c r="K14" s="126">
        <f>J14*0.8</f>
        <v>360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123" t="s">
        <v>1064</v>
      </c>
      <c r="C15" s="115">
        <f>B5</f>
        <v>0</v>
      </c>
      <c r="D15" s="124"/>
      <c r="E15" s="112"/>
      <c r="F15" s="112"/>
      <c r="G15" s="112"/>
      <c r="H15" s="112"/>
      <c r="I15" s="112"/>
      <c r="J15" s="112" t="s">
        <v>1065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23" t="s">
        <v>1066</v>
      </c>
      <c r="B16" s="124"/>
      <c r="C16" s="127" t="e">
        <f>#REF!</f>
        <v>#REF!</v>
      </c>
      <c r="D16" s="124"/>
      <c r="E16" s="112"/>
      <c r="F16" s="112"/>
      <c r="G16" s="112"/>
      <c r="H16" s="112"/>
      <c r="I16" s="112"/>
      <c r="J16" s="128" t="s">
        <v>1067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2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20" t="s">
        <v>1068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 t="s">
        <v>1069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21"/>
      <c r="B22" s="122" t="s">
        <v>1070</v>
      </c>
      <c r="C22" s="122" t="s">
        <v>1062</v>
      </c>
      <c r="D22" s="122" t="s">
        <v>1071</v>
      </c>
      <c r="E22" s="112"/>
      <c r="F22" s="112"/>
      <c r="G22" s="112"/>
      <c r="H22" s="112"/>
      <c r="I22" s="122" t="s">
        <v>1070</v>
      </c>
      <c r="J22" s="122" t="s">
        <v>1062</v>
      </c>
      <c r="K22" s="122" t="s">
        <v>1071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23" t="s">
        <v>686</v>
      </c>
      <c r="B23" s="124"/>
      <c r="C23" s="125" t="e">
        <f>#REF!</f>
        <v>#REF!</v>
      </c>
      <c r="D23" s="124"/>
      <c r="E23" s="112"/>
      <c r="F23" s="112"/>
      <c r="G23" s="112"/>
      <c r="H23" s="112"/>
      <c r="I23" s="126">
        <f>J23*1.2</f>
        <v>48</v>
      </c>
      <c r="J23" s="124">
        <v>40</v>
      </c>
      <c r="K23" s="126">
        <f>J23*0.8</f>
        <v>32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>
      <c r="A24" s="123" t="s">
        <v>1064</v>
      </c>
      <c r="B24" s="124"/>
      <c r="C24" s="115">
        <f>B5</f>
        <v>0</v>
      </c>
      <c r="D24" s="124"/>
      <c r="E24" s="112"/>
      <c r="F24" s="112"/>
      <c r="G24" s="112"/>
      <c r="H24" s="112"/>
      <c r="I24" s="112"/>
      <c r="J24" s="128" t="s">
        <v>1072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>
      <c r="A25" s="123" t="s">
        <v>1066</v>
      </c>
      <c r="B25" s="124"/>
      <c r="C25" s="127" t="e">
        <f>#REF!</f>
        <v>#REF!</v>
      </c>
      <c r="D25" s="12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>
      <c r="A26" s="12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>
      <c r="A27" s="129" t="s">
        <v>1073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>
      <c r="A29" s="129" t="s">
        <v>1074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>
      <c r="A30" s="129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8.75">
      <c r="A31" s="117" t="s">
        <v>1075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>
      <c r="A32" s="112" t="s">
        <v>1076</v>
      </c>
      <c r="B32" s="112"/>
      <c r="C32" s="112"/>
      <c r="D32" s="112"/>
      <c r="E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>
      <c r="A33" s="112"/>
      <c r="B33" s="112"/>
      <c r="C33" s="112"/>
      <c r="D33" s="112"/>
      <c r="E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>
      <c r="A34" s="130"/>
      <c r="B34" s="131" t="s">
        <v>686</v>
      </c>
      <c r="C34" s="131" t="s">
        <v>1064</v>
      </c>
      <c r="D34" s="131" t="s">
        <v>1066</v>
      </c>
      <c r="E34" s="112"/>
      <c r="H34" s="1072" t="s">
        <v>1077</v>
      </c>
      <c r="I34" s="990"/>
      <c r="J34" s="132">
        <f>60*35</f>
        <v>2100</v>
      </c>
      <c r="K34" s="133" t="s">
        <v>89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6.25" customHeight="1">
      <c r="A35" s="134" t="s">
        <v>1078</v>
      </c>
      <c r="B35" s="135" t="e">
        <f>C23</f>
        <v>#REF!</v>
      </c>
      <c r="C35" s="115">
        <f>B5</f>
        <v>0</v>
      </c>
      <c r="D35" s="136" t="e">
        <f>C25</f>
        <v>#REF!</v>
      </c>
      <c r="E35" s="112"/>
      <c r="H35" s="1072" t="s">
        <v>1079</v>
      </c>
      <c r="I35" s="990"/>
      <c r="J35" s="132">
        <v>100.25</v>
      </c>
      <c r="K35" s="133" t="s">
        <v>1080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30">
      <c r="A36" s="134" t="s">
        <v>1081</v>
      </c>
      <c r="B36" s="124"/>
      <c r="C36" s="124"/>
      <c r="D36" s="124"/>
      <c r="E36" s="112"/>
      <c r="H36" s="1072" t="s">
        <v>1082</v>
      </c>
      <c r="I36" s="990"/>
      <c r="J36" s="137">
        <v>185</v>
      </c>
      <c r="K36" s="133" t="s">
        <v>1083</v>
      </c>
      <c r="L36" s="112" t="s">
        <v>1084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>
      <c r="A37" s="120"/>
      <c r="B37" s="112"/>
      <c r="C37" s="112"/>
      <c r="D37" s="112"/>
      <c r="E37" s="112"/>
      <c r="H37" s="1072" t="s">
        <v>1085</v>
      </c>
      <c r="I37" s="990"/>
      <c r="J37" s="137">
        <v>300</v>
      </c>
      <c r="K37" s="133" t="s">
        <v>1083</v>
      </c>
      <c r="L37" s="112" t="s">
        <v>1086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>
      <c r="A38" s="120"/>
      <c r="B38" s="112"/>
      <c r="C38" s="112"/>
      <c r="D38" s="112"/>
      <c r="E38" s="112"/>
      <c r="H38" s="1072" t="s">
        <v>1087</v>
      </c>
      <c r="I38" s="990"/>
      <c r="J38" s="138">
        <f>AVERAGE(5,6.003,3.39)</f>
        <v>4.7976666666666672</v>
      </c>
      <c r="K38" s="133" t="s">
        <v>1083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>
      <c r="A39" s="112"/>
      <c r="B39" s="112"/>
      <c r="C39" s="112"/>
      <c r="D39" s="112"/>
      <c r="E39" s="112"/>
      <c r="F39" s="112"/>
      <c r="G39" s="112"/>
      <c r="H39" s="1072" t="s">
        <v>1088</v>
      </c>
      <c r="I39" s="990"/>
      <c r="J39" s="139">
        <f>AVERAGE(5,6.003,3.39)*0.38</f>
        <v>1.8231133333333336</v>
      </c>
      <c r="K39" s="133" t="s">
        <v>1083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>
      <c r="A40" s="140" t="s">
        <v>1089</v>
      </c>
      <c r="B40" s="112"/>
      <c r="C40" s="112"/>
      <c r="D40" s="112"/>
      <c r="E40" s="112"/>
      <c r="F40" s="112"/>
      <c r="G40" s="112"/>
      <c r="H40" s="1072" t="s">
        <v>1090</v>
      </c>
      <c r="I40" s="990"/>
      <c r="J40" s="139">
        <f>AVERAGE(5,6.003,3.39)*0.62</f>
        <v>2.9745533333333336</v>
      </c>
      <c r="K40" s="133" t="s">
        <v>1083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>
      <c r="A42" s="129" t="s">
        <v>1091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8.75">
      <c r="A44" s="117" t="s">
        <v>1092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>
      <c r="A45" s="112" t="s">
        <v>1093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>
      <c r="A46" s="112" t="s">
        <v>1094</v>
      </c>
      <c r="B46" s="112"/>
      <c r="C46" s="112"/>
      <c r="D46" s="112"/>
      <c r="E46" s="112"/>
      <c r="F46" s="112"/>
      <c r="G46" s="112"/>
      <c r="H46" s="112"/>
      <c r="I46" s="122" t="s">
        <v>1095</v>
      </c>
      <c r="J46" s="122" t="s">
        <v>1096</v>
      </c>
      <c r="K46" s="122" t="s">
        <v>1097</v>
      </c>
      <c r="L46" s="122" t="s">
        <v>1098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>
      <c r="A47" s="112"/>
      <c r="B47" s="112" t="s">
        <v>1099</v>
      </c>
      <c r="C47" s="112"/>
      <c r="D47" s="112"/>
      <c r="E47" s="112"/>
      <c r="F47" s="112"/>
      <c r="G47" s="112"/>
      <c r="H47" s="141" t="s">
        <v>19</v>
      </c>
      <c r="I47" s="142">
        <v>248255424</v>
      </c>
      <c r="J47" s="142">
        <f t="shared" ref="J47:J48" si="0">I47*0.6</f>
        <v>148953254.40000001</v>
      </c>
      <c r="K47" s="142">
        <v>310319280</v>
      </c>
      <c r="L47" s="142">
        <f t="shared" ref="L47:L48" si="1">K47*0.6</f>
        <v>186191568</v>
      </c>
      <c r="M47" s="112" t="s">
        <v>1100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>
      <c r="A48" s="112"/>
      <c r="B48" s="112" t="s">
        <v>1101</v>
      </c>
      <c r="C48" s="112"/>
      <c r="D48" s="112"/>
      <c r="E48" s="112"/>
      <c r="F48" s="112"/>
      <c r="G48" s="112"/>
      <c r="H48" s="141" t="s">
        <v>1102</v>
      </c>
      <c r="I48" s="143">
        <v>551678.71999999997</v>
      </c>
      <c r="J48" s="143">
        <f t="shared" si="0"/>
        <v>331007.23199999996</v>
      </c>
      <c r="K48" s="143">
        <v>689598.4</v>
      </c>
      <c r="L48" s="143">
        <f t="shared" si="1"/>
        <v>413759.04</v>
      </c>
      <c r="M48" s="112" t="s">
        <v>1103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>
      <c r="A49" s="112"/>
      <c r="B49" s="112" t="s">
        <v>1104</v>
      </c>
      <c r="C49" s="112"/>
      <c r="D49" s="112"/>
      <c r="E49" s="112"/>
      <c r="F49" s="112"/>
      <c r="G49" s="112"/>
      <c r="H49" s="141" t="s">
        <v>1105</v>
      </c>
      <c r="I49" s="142">
        <v>33238920</v>
      </c>
      <c r="J49" s="142">
        <f>I49*0.5</f>
        <v>16619460</v>
      </c>
      <c r="K49" s="144"/>
      <c r="L49" s="144"/>
      <c r="M49" s="112" t="s">
        <v>1106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>
      <c r="A50" s="112"/>
      <c r="B50" s="112" t="s">
        <v>1107</v>
      </c>
      <c r="C50" s="112"/>
      <c r="D50" s="112"/>
      <c r="E50" s="112"/>
      <c r="F50" s="112"/>
      <c r="G50" s="112"/>
      <c r="H50" s="141" t="s">
        <v>597</v>
      </c>
      <c r="I50" s="143">
        <v>30</v>
      </c>
      <c r="J50" s="143">
        <f>I50*2</f>
        <v>60</v>
      </c>
      <c r="K50" s="144"/>
      <c r="L50" s="144"/>
      <c r="M50" s="112" t="s">
        <v>1108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>
      <c r="A51" s="112"/>
      <c r="B51" s="112"/>
      <c r="C51" s="112"/>
      <c r="D51" s="112"/>
      <c r="E51" s="112"/>
      <c r="F51" s="112"/>
      <c r="G51" s="112"/>
      <c r="H51" s="112"/>
      <c r="I51" s="128"/>
      <c r="J51" s="128"/>
      <c r="K51" s="128"/>
      <c r="L51" s="128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>
      <c r="A52" s="112"/>
      <c r="B52" s="131" t="s">
        <v>686</v>
      </c>
      <c r="C52" s="131" t="s">
        <v>1064</v>
      </c>
      <c r="D52" s="131" t="s">
        <v>1066</v>
      </c>
      <c r="E52" s="112"/>
      <c r="F52" s="112"/>
      <c r="G52" s="112"/>
      <c r="H52" s="112"/>
      <c r="I52" s="128"/>
      <c r="J52" s="128"/>
      <c r="K52" s="128"/>
      <c r="L52" s="128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>
      <c r="A53" s="134" t="s">
        <v>1062</v>
      </c>
      <c r="B53" s="125" t="e">
        <f>C14</f>
        <v>#REF!</v>
      </c>
      <c r="C53" s="145">
        <f>B5</f>
        <v>0</v>
      </c>
      <c r="D53" s="127" t="e">
        <f>C16</f>
        <v>#REF!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>
      <c r="A54" s="134" t="s">
        <v>1109</v>
      </c>
      <c r="B54" s="124"/>
      <c r="C54" s="124"/>
      <c r="D54" s="12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>
      <c r="A57" s="129" t="s">
        <v>1110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  <row r="1001" spans="1:26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</row>
    <row r="1002" spans="1:26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</row>
    <row r="1003" spans="1:26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</row>
  </sheetData>
  <mergeCells count="7">
    <mergeCell ref="H39:I39"/>
    <mergeCell ref="H40:I40"/>
    <mergeCell ref="H34:I34"/>
    <mergeCell ref="H35:I35"/>
    <mergeCell ref="H36:I36"/>
    <mergeCell ref="H37:I37"/>
    <mergeCell ref="H38:I3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A874"/>
  <sheetViews>
    <sheetView showGridLines="0" topLeftCell="M18" workbookViewId="0">
      <selection activeCell="M19" sqref="M19"/>
    </sheetView>
  </sheetViews>
  <sheetFormatPr baseColWidth="10" defaultColWidth="12.7109375" defaultRowHeight="15" customHeight="1"/>
  <cols>
    <col min="1" max="1" width="5.140625" customWidth="1"/>
    <col min="2" max="2" width="42.140625" customWidth="1"/>
    <col min="3" max="3" width="20.5703125" customWidth="1"/>
    <col min="4" max="4" width="20.140625" customWidth="1"/>
    <col min="5" max="5" width="17.5703125" customWidth="1"/>
    <col min="6" max="6" width="36.7109375" customWidth="1"/>
    <col min="7" max="7" width="10.7109375" customWidth="1"/>
    <col min="8" max="8" width="5.28515625" customWidth="1"/>
    <col min="9" max="9" width="35.140625" customWidth="1"/>
    <col min="10" max="10" width="14.28515625" customWidth="1"/>
    <col min="11" max="11" width="21" customWidth="1"/>
    <col min="12" max="12" width="8.140625" customWidth="1"/>
    <col min="13" max="13" width="11.28515625" customWidth="1"/>
    <col min="14" max="14" width="10.28515625" bestFit="1" customWidth="1"/>
    <col min="15" max="15" width="32.28515625" customWidth="1"/>
    <col min="16" max="27" width="10.7109375" customWidth="1"/>
  </cols>
  <sheetData>
    <row r="1" spans="1:27" ht="15" customHeight="1">
      <c r="B1" s="159"/>
      <c r="C1" s="159"/>
      <c r="D1" s="159"/>
      <c r="E1" s="159"/>
      <c r="F1" s="159"/>
    </row>
    <row r="2" spans="1:27" ht="17.45" customHeight="1">
      <c r="A2" s="159"/>
      <c r="B2" s="982" t="s">
        <v>108</v>
      </c>
      <c r="C2" s="983"/>
      <c r="D2" s="983"/>
      <c r="E2" s="983"/>
      <c r="F2" s="984"/>
      <c r="G2" s="15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2.75" customHeight="1">
      <c r="B3" s="159"/>
      <c r="C3" s="159"/>
      <c r="D3" s="159"/>
      <c r="E3" s="159"/>
      <c r="F3" s="159"/>
      <c r="K3" s="33"/>
    </row>
    <row r="4" spans="1:27" ht="12.75" customHeight="1">
      <c r="A4" s="159"/>
      <c r="B4" s="977" t="s">
        <v>109</v>
      </c>
      <c r="C4" s="978"/>
      <c r="D4" s="978"/>
      <c r="E4" s="978"/>
      <c r="F4" s="979"/>
      <c r="G4" s="159"/>
      <c r="K4" s="33"/>
    </row>
    <row r="5" spans="1:27" ht="12.75" customHeight="1">
      <c r="A5" s="159"/>
      <c r="B5" s="195" t="s">
        <v>110</v>
      </c>
      <c r="C5" s="195" t="s">
        <v>111</v>
      </c>
      <c r="D5" s="195" t="s">
        <v>112</v>
      </c>
      <c r="E5" s="195" t="s">
        <v>113</v>
      </c>
      <c r="F5" s="195" t="s">
        <v>114</v>
      </c>
      <c r="G5" s="159"/>
      <c r="K5" s="33"/>
    </row>
    <row r="6" spans="1:27" ht="12.75" customHeight="1">
      <c r="A6" s="159"/>
      <c r="B6" s="195" t="s">
        <v>115</v>
      </c>
      <c r="C6" s="195">
        <v>1</v>
      </c>
      <c r="D6" s="558">
        <f>770000*InfoInicial!B31</f>
        <v>111650000</v>
      </c>
      <c r="E6" s="558">
        <f>D6*C6</f>
        <v>111650000</v>
      </c>
      <c r="F6" s="286" t="s">
        <v>116</v>
      </c>
      <c r="G6" s="159"/>
      <c r="K6" s="33"/>
    </row>
    <row r="7" spans="1:27" ht="12.75" customHeight="1">
      <c r="A7" s="159"/>
      <c r="C7" s="159"/>
      <c r="E7" s="159"/>
      <c r="F7" s="159"/>
      <c r="K7" s="33"/>
    </row>
    <row r="8" spans="1:27" ht="12.75" customHeight="1">
      <c r="B8" s="159"/>
      <c r="C8" s="159"/>
      <c r="D8" s="159"/>
      <c r="E8" s="159"/>
      <c r="F8" s="159"/>
    </row>
    <row r="9" spans="1:27" ht="12.75" customHeight="1">
      <c r="A9" s="159"/>
      <c r="B9" s="948" t="s">
        <v>117</v>
      </c>
      <c r="C9" s="980"/>
      <c r="D9" s="980"/>
      <c r="E9" s="980"/>
      <c r="F9" s="981"/>
      <c r="G9" t="s">
        <v>118</v>
      </c>
    </row>
    <row r="10" spans="1:27" ht="12.75" customHeight="1">
      <c r="B10" s="319" t="s">
        <v>119</v>
      </c>
      <c r="C10" s="319" t="s">
        <v>111</v>
      </c>
      <c r="D10" s="319" t="s">
        <v>120</v>
      </c>
      <c r="E10" s="319" t="s">
        <v>121</v>
      </c>
      <c r="F10" s="319" t="s">
        <v>122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>
      <c r="B11" s="287" t="s">
        <v>123</v>
      </c>
      <c r="C11" s="288">
        <v>6</v>
      </c>
      <c r="D11" s="289">
        <f>21999</f>
        <v>21999</v>
      </c>
      <c r="E11" s="289">
        <f>C11*D11</f>
        <v>131994</v>
      </c>
      <c r="F11" s="571" t="s">
        <v>124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75" customHeight="1">
      <c r="B12" s="287" t="s">
        <v>125</v>
      </c>
      <c r="C12" s="288">
        <v>9</v>
      </c>
      <c r="D12" s="289">
        <f>31000</f>
        <v>31000</v>
      </c>
      <c r="E12" s="289">
        <f t="shared" ref="E12:E32" si="0">C12*D12</f>
        <v>279000</v>
      </c>
      <c r="F12" s="286" t="s">
        <v>126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2.75" customHeight="1">
      <c r="B13" s="287" t="s">
        <v>127</v>
      </c>
      <c r="C13" s="288">
        <v>4</v>
      </c>
      <c r="D13" s="289">
        <f>148999</f>
        <v>148999</v>
      </c>
      <c r="E13" s="289">
        <f t="shared" si="0"/>
        <v>595996</v>
      </c>
      <c r="F13" s="290" t="s">
        <v>128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2.75" customHeight="1">
      <c r="B14" s="287" t="s">
        <v>129</v>
      </c>
      <c r="C14" s="288">
        <v>9</v>
      </c>
      <c r="D14" s="289">
        <v>179999</v>
      </c>
      <c r="E14" s="289">
        <f t="shared" si="0"/>
        <v>1619991</v>
      </c>
      <c r="F14" s="286" t="s">
        <v>130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12.75" customHeight="1">
      <c r="B15" s="287" t="s">
        <v>131</v>
      </c>
      <c r="C15" s="288">
        <v>11</v>
      </c>
      <c r="D15" s="289">
        <f>101290</f>
        <v>101290</v>
      </c>
      <c r="E15" s="289">
        <f t="shared" si="0"/>
        <v>1114190</v>
      </c>
      <c r="F15" s="571" t="s">
        <v>132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12.75" customHeight="1">
      <c r="B16" s="287" t="s">
        <v>133</v>
      </c>
      <c r="C16" s="288">
        <v>3</v>
      </c>
      <c r="D16" s="289">
        <v>35800</v>
      </c>
      <c r="E16" s="289">
        <f t="shared" si="0"/>
        <v>107400</v>
      </c>
      <c r="F16" s="290" t="s">
        <v>134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2:27" ht="12.75" customHeight="1">
      <c r="B17" s="287" t="s">
        <v>135</v>
      </c>
      <c r="C17" s="288">
        <v>8</v>
      </c>
      <c r="D17" s="289">
        <v>49000</v>
      </c>
      <c r="E17" s="289">
        <f t="shared" si="0"/>
        <v>392000</v>
      </c>
      <c r="F17" s="290" t="s">
        <v>136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2:27" ht="12.75" customHeight="1">
      <c r="B18" s="287" t="s">
        <v>137</v>
      </c>
      <c r="C18" s="288">
        <v>1</v>
      </c>
      <c r="D18" s="289">
        <v>24499</v>
      </c>
      <c r="E18" s="289">
        <f t="shared" si="0"/>
        <v>24499</v>
      </c>
      <c r="F18" s="290" t="s">
        <v>138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ht="12.75" customHeight="1">
      <c r="B19" s="287" t="s">
        <v>139</v>
      </c>
      <c r="C19" s="288">
        <v>6</v>
      </c>
      <c r="D19" s="289">
        <v>4577</v>
      </c>
      <c r="E19" s="289">
        <f t="shared" si="0"/>
        <v>27462</v>
      </c>
      <c r="F19" s="290" t="s">
        <v>140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12.75" customHeight="1">
      <c r="B20" s="287" t="s">
        <v>141</v>
      </c>
      <c r="C20" s="288">
        <v>1</v>
      </c>
      <c r="D20" s="289">
        <v>27999</v>
      </c>
      <c r="E20" s="289">
        <f t="shared" si="0"/>
        <v>27999</v>
      </c>
      <c r="F20" s="290" t="s">
        <v>142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ht="12.75" customHeight="1">
      <c r="B21" s="291" t="s">
        <v>143</v>
      </c>
      <c r="C21" s="288">
        <v>1</v>
      </c>
      <c r="D21" s="289">
        <v>44099</v>
      </c>
      <c r="E21" s="289">
        <f t="shared" si="0"/>
        <v>44099</v>
      </c>
      <c r="F21" s="290" t="s">
        <v>144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2.75" customHeight="1">
      <c r="B22" s="287" t="s">
        <v>145</v>
      </c>
      <c r="C22" s="288">
        <v>1</v>
      </c>
      <c r="D22" s="289">
        <v>6419</v>
      </c>
      <c r="E22" s="289">
        <f t="shared" si="0"/>
        <v>6419</v>
      </c>
      <c r="F22" s="290" t="s">
        <v>146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2.75" customHeight="1">
      <c r="B23" s="287" t="s">
        <v>147</v>
      </c>
      <c r="C23" s="288">
        <v>1</v>
      </c>
      <c r="D23" s="289">
        <v>30299</v>
      </c>
      <c r="E23" s="289">
        <f t="shared" si="0"/>
        <v>30299</v>
      </c>
      <c r="F23" s="290" t="s">
        <v>148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2.75" customHeight="1">
      <c r="B24" s="287" t="s">
        <v>149</v>
      </c>
      <c r="C24" s="288">
        <v>1</v>
      </c>
      <c r="D24" s="289">
        <f>39999</f>
        <v>39999</v>
      </c>
      <c r="E24" s="289">
        <f t="shared" si="0"/>
        <v>39999</v>
      </c>
      <c r="F24" s="290" t="s">
        <v>150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2.75" customHeight="1">
      <c r="B25" s="287" t="s">
        <v>151</v>
      </c>
      <c r="C25" s="288">
        <v>1</v>
      </c>
      <c r="D25" s="289">
        <v>52799</v>
      </c>
      <c r="E25" s="289">
        <f t="shared" si="0"/>
        <v>52799</v>
      </c>
      <c r="F25" s="290" t="s">
        <v>152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2.75" customHeight="1">
      <c r="B26" s="287" t="s">
        <v>153</v>
      </c>
      <c r="C26" s="288">
        <v>1</v>
      </c>
      <c r="D26" s="289">
        <v>2757</v>
      </c>
      <c r="E26" s="289">
        <f t="shared" si="0"/>
        <v>2757</v>
      </c>
      <c r="F26" s="290" t="s">
        <v>154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2.75" customHeight="1">
      <c r="B27" s="287" t="s">
        <v>155</v>
      </c>
      <c r="C27" s="288">
        <v>1</v>
      </c>
      <c r="D27" s="289">
        <v>128752</v>
      </c>
      <c r="E27" s="289">
        <f t="shared" si="0"/>
        <v>128752</v>
      </c>
      <c r="F27" s="286" t="s">
        <v>156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2.75" customHeight="1">
      <c r="B28" s="287" t="s">
        <v>157</v>
      </c>
      <c r="C28" s="288">
        <v>11</v>
      </c>
      <c r="D28" s="289">
        <f>122484</f>
        <v>122484</v>
      </c>
      <c r="E28" s="289">
        <f t="shared" si="0"/>
        <v>1347324</v>
      </c>
      <c r="F28" s="286" t="s">
        <v>158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2.75" customHeight="1">
      <c r="B29" s="287" t="s">
        <v>159</v>
      </c>
      <c r="C29" s="288">
        <v>4</v>
      </c>
      <c r="D29" s="289">
        <f>3800</f>
        <v>3800</v>
      </c>
      <c r="E29" s="289">
        <f t="shared" si="0"/>
        <v>15200</v>
      </c>
      <c r="F29" s="290" t="s">
        <v>160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12.75" customHeight="1">
      <c r="B30" s="287" t="s">
        <v>161</v>
      </c>
      <c r="C30" s="288">
        <v>1</v>
      </c>
      <c r="D30" s="289">
        <f>18100</f>
        <v>18100</v>
      </c>
      <c r="E30" s="289">
        <f t="shared" si="0"/>
        <v>18100</v>
      </c>
      <c r="F30" s="290" t="s">
        <v>162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ht="12.75" customHeight="1">
      <c r="B31" s="287" t="s">
        <v>163</v>
      </c>
      <c r="C31" s="288">
        <v>4</v>
      </c>
      <c r="D31" s="289">
        <f>17900</f>
        <v>17900</v>
      </c>
      <c r="E31" s="289">
        <f t="shared" si="0"/>
        <v>71600</v>
      </c>
      <c r="F31" s="290" t="s">
        <v>164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2:27" ht="12.75" customHeight="1">
      <c r="B32" s="574" t="s">
        <v>165</v>
      </c>
      <c r="C32" s="292">
        <v>10</v>
      </c>
      <c r="D32" s="293">
        <f>1615</f>
        <v>1615</v>
      </c>
      <c r="E32" s="293">
        <f t="shared" si="0"/>
        <v>16150</v>
      </c>
      <c r="F32" s="575" t="s">
        <v>166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2.75" customHeight="1">
      <c r="A33" s="159"/>
      <c r="B33" s="572" t="s">
        <v>167</v>
      </c>
      <c r="C33" s="573">
        <v>2</v>
      </c>
      <c r="D33" s="289">
        <v>59900</v>
      </c>
      <c r="E33" s="289">
        <f>C33*D33</f>
        <v>119800</v>
      </c>
      <c r="F33" s="294" t="s">
        <v>168</v>
      </c>
      <c r="G33" s="15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2.75" customHeight="1">
      <c r="A34" s="159"/>
      <c r="B34" s="572" t="s">
        <v>169</v>
      </c>
      <c r="C34" s="573">
        <v>1</v>
      </c>
      <c r="D34" s="289">
        <v>137000</v>
      </c>
      <c r="E34" s="289">
        <f>D34*C34</f>
        <v>137000</v>
      </c>
      <c r="F34" s="581" t="s">
        <v>170</v>
      </c>
      <c r="G34" s="15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75" customHeight="1">
      <c r="A35" s="159"/>
      <c r="B35" s="572" t="s">
        <v>171</v>
      </c>
      <c r="C35" s="573">
        <v>3</v>
      </c>
      <c r="D35" s="289">
        <v>62000</v>
      </c>
      <c r="E35" s="289">
        <f>D35*C35</f>
        <v>186000</v>
      </c>
      <c r="F35" s="581" t="s">
        <v>172</v>
      </c>
      <c r="G35" s="159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ht="12.75" customHeight="1">
      <c r="A36" s="159"/>
      <c r="B36" s="572" t="s">
        <v>173</v>
      </c>
      <c r="C36" s="573">
        <v>3</v>
      </c>
      <c r="D36" s="289">
        <v>45000</v>
      </c>
      <c r="E36" s="289">
        <f>D36*C36</f>
        <v>135000</v>
      </c>
      <c r="F36" s="581" t="s">
        <v>174</v>
      </c>
      <c r="G36" s="15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7" ht="12.75" customHeight="1">
      <c r="B37" s="576" t="s">
        <v>175</v>
      </c>
      <c r="C37" s="577">
        <f>SUM(C11:C33)</f>
        <v>97</v>
      </c>
      <c r="D37" s="578">
        <f>SUM(D11:D33)</f>
        <v>1154085</v>
      </c>
      <c r="E37" s="579">
        <f>SUM(E11:E36)</f>
        <v>6671829</v>
      </c>
      <c r="F37" s="580"/>
    </row>
    <row r="38" spans="1:27" ht="12.75" customHeight="1">
      <c r="B38" s="3"/>
      <c r="C38" s="159"/>
      <c r="D38" s="159"/>
      <c r="E38" s="159"/>
    </row>
    <row r="39" spans="1:27" ht="12.75" customHeight="1">
      <c r="B39" s="159"/>
      <c r="C39" s="159"/>
      <c r="D39" s="159"/>
      <c r="E39" s="159"/>
      <c r="F39" s="159"/>
    </row>
    <row r="40" spans="1:27" ht="12.75" customHeight="1">
      <c r="A40" s="159"/>
      <c r="B40" s="320" t="s">
        <v>176</v>
      </c>
      <c r="C40" s="321" t="s">
        <v>111</v>
      </c>
      <c r="D40" s="322" t="s">
        <v>112</v>
      </c>
      <c r="E40" s="321" t="s">
        <v>113</v>
      </c>
      <c r="F40" s="322" t="s">
        <v>114</v>
      </c>
    </row>
    <row r="41" spans="1:27" ht="12.75" customHeight="1">
      <c r="B41" s="295" t="s">
        <v>177</v>
      </c>
      <c r="C41" s="288">
        <f>6</f>
        <v>6</v>
      </c>
      <c r="D41" s="296">
        <f>5500*InfoInicial!B31</f>
        <v>797500</v>
      </c>
      <c r="E41" s="297">
        <f>C41*D41+(0.05*D41*C41)</f>
        <v>5024250</v>
      </c>
      <c r="F41" s="298" t="s">
        <v>178</v>
      </c>
      <c r="G41" t="s">
        <v>179</v>
      </c>
    </row>
    <row r="42" spans="1:27" ht="12.75" customHeight="1">
      <c r="B42" s="295" t="s">
        <v>180</v>
      </c>
      <c r="C42" s="288">
        <f>21</f>
        <v>21</v>
      </c>
      <c r="D42" s="296">
        <f>45*InfoInicial!B31</f>
        <v>6525</v>
      </c>
      <c r="E42" s="297">
        <f>C42*D42</f>
        <v>137025</v>
      </c>
      <c r="F42" s="299" t="s">
        <v>178</v>
      </c>
    </row>
    <row r="43" spans="1:27" ht="12.75" customHeight="1">
      <c r="B43" s="295" t="s">
        <v>181</v>
      </c>
      <c r="C43" s="288">
        <f>3</f>
        <v>3</v>
      </c>
      <c r="D43" s="296">
        <f>6200*InfoInicial!B31</f>
        <v>899000</v>
      </c>
      <c r="E43" s="297">
        <f>C43*D43+(0.05*D43*C43)</f>
        <v>2831850</v>
      </c>
      <c r="F43" s="299" t="s">
        <v>178</v>
      </c>
      <c r="G43" t="s">
        <v>179</v>
      </c>
    </row>
    <row r="44" spans="1:27" ht="12.75" customHeight="1">
      <c r="B44" s="295" t="s">
        <v>182</v>
      </c>
      <c r="C44" s="288">
        <f>6</f>
        <v>6</v>
      </c>
      <c r="D44" s="296">
        <f>6000*InfoInicial!B31</f>
        <v>870000</v>
      </c>
      <c r="E44" s="297">
        <f t="shared" ref="E44" si="1">C44*D44+(0.05*D44*C44)</f>
        <v>5481000</v>
      </c>
      <c r="F44" s="299" t="s">
        <v>178</v>
      </c>
      <c r="G44" t="s">
        <v>179</v>
      </c>
    </row>
    <row r="45" spans="1:27" ht="12.75" customHeight="1">
      <c r="B45" s="295" t="s">
        <v>183</v>
      </c>
      <c r="C45" s="288">
        <f>4</f>
        <v>4</v>
      </c>
      <c r="D45" s="296">
        <f>4780*InfoInicial!B31</f>
        <v>693100</v>
      </c>
      <c r="E45" s="297">
        <f>C45*D45+(0.05*D45*C45)</f>
        <v>2911020</v>
      </c>
      <c r="F45" s="299" t="s">
        <v>178</v>
      </c>
      <c r="G45" t="s">
        <v>179</v>
      </c>
    </row>
    <row r="46" spans="1:27" ht="12.75" customHeight="1">
      <c r="A46" s="159"/>
      <c r="B46" s="300" t="s">
        <v>175</v>
      </c>
      <c r="C46" s="300">
        <f>SUM(C41:C45)</f>
        <v>40</v>
      </c>
      <c r="D46" s="301">
        <f>SUM(D41:D45)</f>
        <v>3266125</v>
      </c>
      <c r="E46" s="302">
        <f>SUM(E41:E45)</f>
        <v>16385145</v>
      </c>
      <c r="F46" s="181"/>
    </row>
    <row r="47" spans="1:27" ht="12.75" customHeight="1">
      <c r="A47" s="159"/>
      <c r="B47" s="204"/>
      <c r="C47" s="204"/>
      <c r="D47" s="205"/>
      <c r="E47" s="205"/>
      <c r="F47" s="206"/>
      <c r="G47" s="207"/>
    </row>
    <row r="48" spans="1:27" ht="12.75" customHeight="1">
      <c r="A48" s="159"/>
      <c r="B48" s="323" t="s">
        <v>184</v>
      </c>
      <c r="C48" s="321" t="s">
        <v>111</v>
      </c>
      <c r="D48" s="322" t="s">
        <v>112</v>
      </c>
      <c r="E48" s="321" t="s">
        <v>113</v>
      </c>
      <c r="F48" s="322" t="s">
        <v>114</v>
      </c>
      <c r="G48" s="207"/>
    </row>
    <row r="49" spans="1:7" ht="12.75" customHeight="1">
      <c r="A49" s="159"/>
      <c r="B49" s="303" t="s">
        <v>185</v>
      </c>
      <c r="C49" s="304">
        <v>1</v>
      </c>
      <c r="D49" s="305">
        <f>17000*1.21*InfoInicial!B31</f>
        <v>2982650</v>
      </c>
      <c r="E49" s="306">
        <f>D49*C49+0.05*(C49*D49)</f>
        <v>3131782.5</v>
      </c>
      <c r="F49" s="299" t="s">
        <v>178</v>
      </c>
      <c r="G49" s="230" t="s">
        <v>179</v>
      </c>
    </row>
    <row r="50" spans="1:7" ht="12.75" customHeight="1">
      <c r="B50" s="159"/>
      <c r="C50" s="159"/>
      <c r="D50" s="159"/>
      <c r="E50" s="159"/>
      <c r="F50" s="159"/>
    </row>
    <row r="51" spans="1:7" ht="15.75" customHeight="1">
      <c r="A51" s="159"/>
      <c r="B51" s="985" t="s">
        <v>186</v>
      </c>
      <c r="C51" s="986"/>
      <c r="D51" s="986"/>
      <c r="E51" s="986"/>
      <c r="F51" s="987"/>
      <c r="G51" s="159"/>
    </row>
    <row r="52" spans="1:7" ht="12.75" customHeight="1">
      <c r="B52" s="159"/>
      <c r="C52" s="159"/>
      <c r="D52" s="159"/>
      <c r="E52" s="159"/>
      <c r="F52" s="159"/>
    </row>
    <row r="53" spans="1:7" ht="12.75" customHeight="1">
      <c r="A53" s="159"/>
      <c r="B53" s="948" t="s">
        <v>187</v>
      </c>
      <c r="C53" s="980"/>
      <c r="D53" s="980"/>
      <c r="E53" s="980"/>
      <c r="F53" s="981"/>
      <c r="G53" s="159"/>
    </row>
    <row r="54" spans="1:7" ht="12.75" customHeight="1">
      <c r="B54" s="159"/>
      <c r="C54" s="193"/>
      <c r="D54" s="324" t="s">
        <v>188</v>
      </c>
      <c r="E54" s="325" t="s">
        <v>122</v>
      </c>
      <c r="F54" s="159"/>
    </row>
    <row r="55" spans="1:7" ht="12.75" customHeight="1">
      <c r="C55" s="307" t="s">
        <v>187</v>
      </c>
      <c r="D55" s="308">
        <v>44640</v>
      </c>
      <c r="E55" s="309" t="s">
        <v>189</v>
      </c>
      <c r="F55" s="159"/>
    </row>
    <row r="56" spans="1:7" ht="12.75" customHeight="1">
      <c r="B56" s="159"/>
      <c r="C56" s="159"/>
      <c r="D56" s="159"/>
      <c r="E56" s="159"/>
      <c r="F56" s="159"/>
    </row>
    <row r="57" spans="1:7" ht="12.75" customHeight="1">
      <c r="A57" s="159"/>
      <c r="B57" s="948" t="s">
        <v>190</v>
      </c>
      <c r="C57" s="980"/>
      <c r="D57" s="980"/>
      <c r="E57" s="980"/>
      <c r="F57" s="981"/>
      <c r="G57" s="159"/>
    </row>
    <row r="58" spans="1:7" ht="12.75">
      <c r="B58" s="324" t="s">
        <v>191</v>
      </c>
      <c r="C58" s="324" t="s">
        <v>192</v>
      </c>
      <c r="D58" s="326" t="s">
        <v>188</v>
      </c>
      <c r="E58" s="326" t="s">
        <v>122</v>
      </c>
      <c r="F58" s="159"/>
    </row>
    <row r="59" spans="1:7" ht="12.75" customHeight="1">
      <c r="B59" s="310">
        <v>1865</v>
      </c>
      <c r="C59" s="310">
        <v>200</v>
      </c>
      <c r="D59" s="310">
        <f>B59*C59</f>
        <v>373000</v>
      </c>
      <c r="E59" s="311" t="s">
        <v>193</v>
      </c>
    </row>
    <row r="60" spans="1:7" ht="12.75" customHeight="1"/>
    <row r="61" spans="1:7" ht="12.75" customHeight="1">
      <c r="B61" s="159"/>
      <c r="C61" s="159"/>
      <c r="D61" s="159"/>
      <c r="E61" s="159"/>
      <c r="F61" s="159"/>
    </row>
    <row r="62" spans="1:7" ht="12.75" customHeight="1">
      <c r="A62" s="159"/>
      <c r="B62" s="948" t="s">
        <v>194</v>
      </c>
      <c r="C62" s="980"/>
      <c r="D62" s="980"/>
      <c r="E62" s="980"/>
      <c r="F62" s="981"/>
      <c r="G62" s="159"/>
    </row>
    <row r="63" spans="1:7" ht="12.75" customHeight="1">
      <c r="B63" s="319" t="s">
        <v>195</v>
      </c>
      <c r="C63" s="319" t="s">
        <v>111</v>
      </c>
      <c r="D63" s="319" t="s">
        <v>112</v>
      </c>
      <c r="E63" s="319" t="s">
        <v>122</v>
      </c>
      <c r="F63" s="159"/>
    </row>
    <row r="64" spans="1:7" ht="12.75" customHeight="1">
      <c r="B64" s="312" t="s">
        <v>196</v>
      </c>
      <c r="C64" s="287">
        <v>1</v>
      </c>
      <c r="D64" s="313">
        <f>2210+1020000</f>
        <v>1022210</v>
      </c>
      <c r="E64" s="314" t="s">
        <v>197</v>
      </c>
      <c r="F64" t="s">
        <v>198</v>
      </c>
    </row>
    <row r="65" spans="1:7" ht="12.75" customHeight="1">
      <c r="B65" s="312" t="s">
        <v>199</v>
      </c>
      <c r="C65" s="287">
        <v>1</v>
      </c>
      <c r="D65" s="313">
        <v>9750</v>
      </c>
      <c r="E65" s="315" t="s">
        <v>200</v>
      </c>
      <c r="F65" t="s">
        <v>201</v>
      </c>
    </row>
    <row r="66" spans="1:7" ht="12.75" customHeight="1">
      <c r="B66" s="312" t="s">
        <v>202</v>
      </c>
      <c r="C66" s="287">
        <v>1</v>
      </c>
      <c r="D66" s="313">
        <f>54700</f>
        <v>54700</v>
      </c>
      <c r="E66" s="316" t="s">
        <v>200</v>
      </c>
      <c r="F66" t="s">
        <v>203</v>
      </c>
    </row>
    <row r="67" spans="1:7" ht="12.75" customHeight="1">
      <c r="B67" s="312" t="s">
        <v>204</v>
      </c>
      <c r="C67" s="287">
        <v>1</v>
      </c>
      <c r="D67" s="313">
        <v>1563</v>
      </c>
      <c r="E67" s="315" t="s">
        <v>200</v>
      </c>
      <c r="F67" t="s">
        <v>203</v>
      </c>
    </row>
    <row r="68" spans="1:7" ht="12.75" customHeight="1">
      <c r="B68" s="312" t="s">
        <v>205</v>
      </c>
      <c r="C68" s="287">
        <v>1</v>
      </c>
      <c r="D68" s="313">
        <f>SUM(D66:D67)</f>
        <v>56263</v>
      </c>
      <c r="E68" s="314" t="s">
        <v>206</v>
      </c>
      <c r="F68" t="s">
        <v>207</v>
      </c>
    </row>
    <row r="69" spans="1:7" ht="12.75" customHeight="1">
      <c r="B69" s="312" t="s">
        <v>188</v>
      </c>
      <c r="C69" s="312" t="s">
        <v>200</v>
      </c>
      <c r="D69" s="317">
        <v>59900</v>
      </c>
      <c r="E69" s="318"/>
    </row>
    <row r="70" spans="1:7" ht="12.75" customHeight="1"/>
    <row r="71" spans="1:7" ht="12.75" customHeight="1">
      <c r="B71" s="977" t="s">
        <v>208</v>
      </c>
      <c r="C71" s="978"/>
      <c r="D71" s="978"/>
      <c r="E71" s="978"/>
      <c r="F71" s="979"/>
    </row>
    <row r="72" spans="1:7" ht="12.75" customHeight="1">
      <c r="A72" s="159"/>
      <c r="B72" s="195" t="s">
        <v>209</v>
      </c>
      <c r="C72" s="195" t="s">
        <v>112</v>
      </c>
      <c r="D72" s="195" t="s">
        <v>210</v>
      </c>
      <c r="E72" s="195" t="s">
        <v>113</v>
      </c>
      <c r="F72" s="559" t="s">
        <v>113</v>
      </c>
      <c r="G72" s="559"/>
    </row>
    <row r="73" spans="1:7" ht="12.75" customHeight="1">
      <c r="A73" s="159"/>
      <c r="B73" s="195" t="s">
        <v>211</v>
      </c>
      <c r="C73" s="560">
        <v>110000</v>
      </c>
      <c r="D73" s="195" t="s">
        <v>212</v>
      </c>
      <c r="E73" s="560">
        <f>C73*'InfoInicial-CálcAux'!C27</f>
        <v>18394200</v>
      </c>
      <c r="F73" s="561" t="s">
        <v>213</v>
      </c>
    </row>
    <row r="74" spans="1:7" ht="12.75" customHeight="1">
      <c r="A74" s="159"/>
      <c r="B74" s="195" t="s">
        <v>214</v>
      </c>
      <c r="C74" s="195"/>
      <c r="D74" s="195"/>
      <c r="E74" s="560">
        <v>1700000</v>
      </c>
      <c r="F74" s="561" t="s">
        <v>215</v>
      </c>
    </row>
    <row r="75" spans="1:7" ht="12.75" customHeight="1">
      <c r="A75" s="159"/>
      <c r="B75" s="195" t="s">
        <v>216</v>
      </c>
      <c r="C75" s="195">
        <v>7323</v>
      </c>
      <c r="D75" s="195" t="s">
        <v>217</v>
      </c>
      <c r="E75" s="560">
        <f>C75*'InfoInicial-CálcAux'!G31</f>
        <v>3515040</v>
      </c>
      <c r="F75" s="561" t="s">
        <v>218</v>
      </c>
    </row>
    <row r="76" spans="1:7" ht="12.75" customHeight="1">
      <c r="A76" s="159"/>
      <c r="B76" s="195" t="s">
        <v>219</v>
      </c>
      <c r="C76" s="195"/>
      <c r="D76" s="195"/>
      <c r="E76" s="560">
        <v>140600</v>
      </c>
      <c r="F76" s="561" t="s">
        <v>220</v>
      </c>
    </row>
    <row r="77" spans="1:7" ht="12.75" customHeight="1">
      <c r="A77" s="159"/>
      <c r="B77" s="195" t="s">
        <v>221</v>
      </c>
      <c r="C77" s="195"/>
      <c r="D77" s="195"/>
      <c r="E77" s="560">
        <v>1800000</v>
      </c>
      <c r="F77" s="561" t="s">
        <v>220</v>
      </c>
    </row>
    <row r="78" spans="1:7" ht="12.75" customHeight="1">
      <c r="A78" s="159"/>
      <c r="B78" s="195" t="s">
        <v>222</v>
      </c>
      <c r="C78" s="195" t="s">
        <v>223</v>
      </c>
      <c r="D78" s="195" t="s">
        <v>223</v>
      </c>
      <c r="E78" s="560">
        <f>E87</f>
        <v>808420</v>
      </c>
      <c r="F78" s="561"/>
    </row>
    <row r="79" spans="1:7" ht="12.75" customHeight="1">
      <c r="B79" s="564" t="s">
        <v>224</v>
      </c>
      <c r="C79" s="159"/>
      <c r="D79" s="159"/>
      <c r="E79" s="565">
        <f>SUM(E73:E78)</f>
        <v>26358260</v>
      </c>
    </row>
    <row r="80" spans="1:7" ht="12.75" customHeight="1"/>
    <row r="81" spans="2:6" ht="12.75" customHeight="1"/>
    <row r="82" spans="2:6" ht="12.75" customHeight="1">
      <c r="B82" s="977" t="s">
        <v>222</v>
      </c>
      <c r="C82" s="978"/>
      <c r="D82" s="978"/>
      <c r="E82" s="978"/>
      <c r="F82" s="979"/>
    </row>
    <row r="83" spans="2:6" ht="12.75" customHeight="1">
      <c r="B83" s="195" t="s">
        <v>209</v>
      </c>
      <c r="C83" s="195" t="s">
        <v>112</v>
      </c>
      <c r="D83" s="195" t="s">
        <v>111</v>
      </c>
      <c r="E83" s="195" t="s">
        <v>113</v>
      </c>
      <c r="F83" s="209" t="s">
        <v>113</v>
      </c>
    </row>
    <row r="84" spans="2:6" ht="12.75" customHeight="1">
      <c r="B84" s="195" t="s">
        <v>225</v>
      </c>
      <c r="C84" s="560">
        <f>12138</f>
        <v>12138</v>
      </c>
      <c r="D84" s="195">
        <f>20</f>
        <v>20</v>
      </c>
      <c r="E84" s="560">
        <f>C84*D84</f>
        <v>242760</v>
      </c>
      <c r="F84" s="563" t="s">
        <v>226</v>
      </c>
    </row>
    <row r="85" spans="2:6" ht="12.75" customHeight="1">
      <c r="B85" s="195" t="s">
        <v>227</v>
      </c>
      <c r="C85" s="560">
        <f>275000</f>
        <v>275000</v>
      </c>
      <c r="D85" s="195">
        <f>2</f>
        <v>2</v>
      </c>
      <c r="E85" s="560">
        <f>C85*D85</f>
        <v>550000</v>
      </c>
      <c r="F85" s="563" t="s">
        <v>228</v>
      </c>
    </row>
    <row r="86" spans="2:6" ht="12.75" customHeight="1">
      <c r="B86" s="195" t="s">
        <v>229</v>
      </c>
      <c r="C86" s="560">
        <f>522</f>
        <v>522</v>
      </c>
      <c r="D86" s="195">
        <f>30</f>
        <v>30</v>
      </c>
      <c r="E86" s="560">
        <f>C86*D86</f>
        <v>15660</v>
      </c>
      <c r="F86" s="563" t="s">
        <v>230</v>
      </c>
    </row>
    <row r="87" spans="2:6" ht="12.75" customHeight="1">
      <c r="B87" s="566" t="s">
        <v>224</v>
      </c>
      <c r="E87" s="567">
        <f>SUM(E84:E86)</f>
        <v>808420</v>
      </c>
    </row>
    <row r="88" spans="2:6" ht="12.75" customHeight="1"/>
    <row r="89" spans="2:6" ht="12.75" customHeight="1"/>
    <row r="90" spans="2:6" ht="12.75" customHeight="1"/>
    <row r="91" spans="2:6" ht="12.75" customHeight="1"/>
    <row r="92" spans="2:6" ht="12.75" customHeight="1"/>
    <row r="93" spans="2:6" ht="12.75" customHeight="1"/>
    <row r="94" spans="2:6" ht="12.75" customHeight="1"/>
    <row r="95" spans="2:6" ht="12.75" customHeight="1"/>
    <row r="96" spans="2: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9">
    <mergeCell ref="B82:F82"/>
    <mergeCell ref="B71:F71"/>
    <mergeCell ref="B57:F57"/>
    <mergeCell ref="B62:F62"/>
    <mergeCell ref="B2:F2"/>
    <mergeCell ref="B4:F4"/>
    <mergeCell ref="B9:F9"/>
    <mergeCell ref="B51:F51"/>
    <mergeCell ref="B53:F53"/>
  </mergeCells>
  <hyperlinks>
    <hyperlink ref="E59" r:id="rId1" xr:uid="{00000000-0004-0000-0200-000021000000}"/>
    <hyperlink ref="F16" r:id="rId2" location="searchVariation=MLA15712570&amp;position=3&amp;search_layout=stack&amp;type=product&amp;tracking_id=7b9e6bec-57d8-446f-8bc3-a4ad31366a67" display="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" xr:uid="{F142C1E2-7923-4FF9-8BB6-D4632A9BFD6F}"/>
    <hyperlink ref="F22" r:id="rId3" location="searchVariation=MLA15589099&amp;position=1&amp;search_layout=stack&amp;type=product&amp;tracking_id=b6a19907-4e9a-4b34-80d7-41e2ee314e58" xr:uid="{B89BA819-FAB3-4263-A0A9-10BE811A7E0B}"/>
    <hyperlink ref="F21" r:id="rId4" location="searchVariation=MLA17827341&amp;position=1&amp;search_layout=stack&amp;type=product&amp;tracking_id=cf35afda-f493-4217-b220-7f68514f6bc6" display="https://www.mercadolibre.com.ar/heladera-patrick-hpk135m00b01-blanca-con-freezer-264l-220v/p/MLA17827341?pdp_filters=category:MLA398582#searchVariation=MLA17827341&amp;position=1&amp;search_layout=stack&amp;type=product&amp;tracking_id=cf35afda-f493-4217-b220-7f68514f6bc6" xr:uid="{3E03FA61-5058-4D72-ADD5-300CC7DC3B90}"/>
    <hyperlink ref="F20" r:id="rId5" location="searchVariation=MLA16266563&amp;position=1&amp;search_layout=stack&amp;type=product&amp;tracking_id=7c9d82e7-eccc-457a-ba45-7cabe5d0d358" xr:uid="{C9CC7293-C2C7-444D-80B6-E92456BBB7F1}"/>
    <hyperlink ref="F11" r:id="rId6" location="D[A:escritorio%20de%20oficina" xr:uid="{E5A859D6-5B8B-4126-826C-3AE9DA30D463}"/>
    <hyperlink ref="F12" r:id="rId7" location="12676052" xr:uid="{F121E323-60DE-42DB-8D54-59B180CE3987}"/>
    <hyperlink ref="F13" r:id="rId8" location="searchVariation=MLA18705457&amp;position=1&amp;search_layout=stack&amp;type=product&amp;tracking_id=51262458-6bba-4c69-bf07-13fb2da80d18" display="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" xr:uid="{12F425B2-B097-4F33-95DB-BDCBCEC0E8FB}"/>
    <hyperlink ref="F15" r:id="rId9" location="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display="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xr:uid="{9B7633B2-9D1A-4814-9D13-8C7ABF0C213B}"/>
    <hyperlink ref="F17" r:id="rId10" location="position=2&amp;search_layout=grid&amp;type=item&amp;tracking_id=0578791d-eb0b-48e2-88db-9723fd138cd3" xr:uid="{FF3BE663-DC6D-423E-82D4-C454B4622B5D}"/>
    <hyperlink ref="F18" r:id="rId11" location="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display="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xr:uid="{F959C789-11E4-4B6A-86C9-1975C01772B5}"/>
    <hyperlink ref="F19" r:id="rId12" location="reco_item_pos=0&amp;reco_backend=machinalis-pdp-v2p&amp;reco_backend_type=low_level&amp;reco_client=pdp-v2p&amp;reco_id=14a3901e-a85c-46bb-90ae-509749f0aa93" xr:uid="{10C65A80-E917-41F0-B5F9-18D43E19C033}"/>
    <hyperlink ref="F23" r:id="rId13" location="searchVariation=MLA15237032&amp;position=2&amp;search_layout=grid&amp;type=product&amp;tracking_id=dada3120-26c1-48df-a83d-22f4b113ad10" xr:uid="{7A15F8BA-EB7F-4383-B26A-B2E4CC8C8DD2}"/>
    <hyperlink ref="F26" r:id="rId14" location="position=29&amp;search_layout=stack&amp;type=item&amp;tracking_id=d4da9a15-9b11-4042-8a49-f16b01251702" xr:uid="{F805DC05-95C9-45CE-941A-E0A0133F2899}"/>
    <hyperlink ref="F25" r:id="rId15" location="position=1&amp;search_layout=stack&amp;type=item&amp;tracking_id=cb9ebdf6-1f28-47f2-be8f-1df72e6725a6" xr:uid="{4932D623-689F-4A29-8318-CA2E1C5492E6}"/>
    <hyperlink ref="F33" r:id="rId16" location="position=1&amp;search_layout=stack&amp;type=item&amp;tracking_id=489b1133-0d3c-43f1-822c-c2d05b3eb548" xr:uid="{045352CC-636F-4C60-9C40-6A36CF9E8A6D}"/>
    <hyperlink ref="E55" r:id="rId17" xr:uid="{00000000-0004-0000-0200-000020000000}"/>
    <hyperlink ref="E64" r:id="rId18" xr:uid="{A0FB8D74-4724-46B7-925A-AEB9C8F0D866}"/>
    <hyperlink ref="E68" r:id="rId19" xr:uid="{0576D8DA-F53F-4BDC-8C05-98B05935EFB7}"/>
    <hyperlink ref="F6" r:id="rId20" location="position=1&amp;search_layout=grid&amp;type=item&amp;tracking_id=3282a7a9-e3ac-4b56-b7f2-59d12d40354e" xr:uid="{7E857271-CF14-477C-B87F-400B956A4C1C}"/>
    <hyperlink ref="F14" r:id="rId21" xr:uid="{BB65C7EE-570F-41FD-876F-EFB50FAB302B}"/>
    <hyperlink ref="F27" r:id="rId22" display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xr:uid="{8583BDB3-0220-48D6-97C7-9A6D59BC72CB}"/>
    <hyperlink ref="F73" r:id="rId23" location="position=4&amp;search_layout=stack&amp;type=item&amp;tracking_id=3b5033f1-e9c8-40a3-a0bd-57e63847851f" xr:uid="{85F83BF1-B8E7-4420-B41B-894A4F713B42}"/>
    <hyperlink ref="F76" r:id="rId24" xr:uid="{4CD758F2-58C5-4097-ACB8-3E5CB1D8A233}"/>
    <hyperlink ref="F75" r:id="rId25" xr:uid="{EE853C40-BBEA-464F-BA74-76175B76113F}"/>
    <hyperlink ref="F77" r:id="rId26" xr:uid="{B3253F08-8CBD-40B4-B938-10C26182A4F8}"/>
    <hyperlink ref="F84" r:id="rId27" location="position=4&amp;search_layout=stack&amp;type=item&amp;tracking_id=a3ee9889-4c16-4682-a0a9-2dad5ce30308" xr:uid="{9447AE47-A3DC-4FFB-9328-6D5A67672D26}"/>
    <hyperlink ref="F85" r:id="rId28" location="position=30&amp;search_layout=stack&amp;type=item&amp;tracking_id=7d2d7fcc-8f48-436e-9955-c65cd158abca" xr:uid="{7C57B7DF-2BF7-479D-9EEB-A759DA1F7B64}"/>
    <hyperlink ref="F86" r:id="rId29" location="searchVariation=56415635697&amp;position=6&amp;search_layout=stack&amp;type=item&amp;tracking_id=dbba8ec9-3ea5-4a44-a272-5ab550b2d7eb" display="https://articulo.mercadolibre.com.ar/MLA-856919586-llave-toma-corriente-doble-exterior-enchufe-aplicar-jeluz-_JM?searchVariation=56415635697#searchVariation=56415635697&amp;position=6&amp;search_layout=stack&amp;type=item&amp;tracking_id=dbba8ec9-3ea5-4a44-a272-5ab550b2d7eb" xr:uid="{1197C36B-61D5-4FCA-821D-AD8EAB5D7797}"/>
    <hyperlink ref="F28" r:id="rId30" xr:uid="{00AE1D93-D8C3-49A6-A630-21F26EB179DF}"/>
    <hyperlink ref="F34" r:id="rId31" xr:uid="{721B9BCF-5648-429E-8136-C5921DF71408}"/>
    <hyperlink ref="F35" r:id="rId32" location="searchVariation=174240299027&amp;position=3&amp;search_layout=grid&amp;type=item&amp;tracking_id=22c2007f-d6da-428e-a03f-def9688d5934" display="https://articulo.mercadolibre.com.ar/MLA-1124900352-silla-comedor-industrial-metal-reforzada-apilable-tolix-x6-_JM?searchVariation=174240299027#searchVariation=174240299027&amp;position=3&amp;search_layout=grid&amp;type=item&amp;tracking_id=22c2007f-d6da-428e-a03f-def9688d5934" xr:uid="{6DB24940-7FA4-4941-AF45-3E3A7764036B}"/>
    <hyperlink ref="F36" r:id="rId33" location="searchVariation=36130025560&amp;position=24&amp;search_layout=grid&amp;type=item&amp;tracking_id=ed2f0b67-c03d-48e6-ac40-acd109796042" display="https://articulo.mercadolibre.com.ar/MLA-723278664-mesa-industrial-80x180-patas-de-hierro-tapa-color-madera-_JM?searchVariation=36130025560#searchVariation=36130025560&amp;position=24&amp;search_layout=grid&amp;type=item&amp;tracking_id=ed2f0b67-c03d-48e6-ac40-acd109796042" xr:uid="{DECD6F7D-BE54-433D-901B-437E556C1F4C}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000"/>
  <sheetViews>
    <sheetView showGridLines="0" zoomScaleNormal="100" workbookViewId="0">
      <selection activeCell="F17" sqref="F17"/>
    </sheetView>
  </sheetViews>
  <sheetFormatPr baseColWidth="10" defaultColWidth="12.7109375" defaultRowHeight="15" customHeight="1"/>
  <cols>
    <col min="1" max="3" width="10.7109375" customWidth="1"/>
    <col min="4" max="4" width="12.7109375" bestFit="1" customWidth="1"/>
    <col min="5" max="5" width="10.7109375" customWidth="1"/>
    <col min="6" max="6" width="18.42578125" bestFit="1" customWidth="1"/>
    <col min="7" max="7" width="6.42578125" customWidth="1"/>
    <col min="8" max="8" width="19.85546875" bestFit="1" customWidth="1"/>
    <col min="9" max="9" width="18.85546875" bestFit="1" customWidth="1"/>
    <col min="10" max="10" width="33.7109375" bestFit="1" customWidth="1"/>
    <col min="11" max="11" width="33.28515625" bestFit="1" customWidth="1"/>
    <col min="12" max="26" width="14.28515625" customWidth="1"/>
  </cols>
  <sheetData>
    <row r="1" spans="1:7" ht="12.75" customHeight="1">
      <c r="A1" s="36" t="s">
        <v>231</v>
      </c>
      <c r="E1" s="16" t="s">
        <v>232</v>
      </c>
    </row>
    <row r="2" spans="1:7" ht="12.75" customHeight="1">
      <c r="A2" s="4" t="s">
        <v>233</v>
      </c>
      <c r="B2" s="4">
        <f>234</f>
        <v>234</v>
      </c>
      <c r="C2" s="4" t="s">
        <v>234</v>
      </c>
    </row>
    <row r="3" spans="1:7" ht="12.75" customHeight="1">
      <c r="A3" s="37" t="s">
        <v>235</v>
      </c>
      <c r="D3" s="38"/>
    </row>
    <row r="4" spans="1:7" ht="12.75" customHeight="1">
      <c r="A4" s="16" t="s">
        <v>236</v>
      </c>
      <c r="D4" s="240">
        <f>(209.1*1000)/2.5</f>
        <v>83640</v>
      </c>
      <c r="E4" s="172" t="s">
        <v>20</v>
      </c>
      <c r="F4" s="183">
        <f>B2*D4</f>
        <v>19571760</v>
      </c>
    </row>
    <row r="5" spans="1:7" ht="12.75" customHeight="1">
      <c r="A5" s="16" t="s">
        <v>237</v>
      </c>
      <c r="D5" s="240">
        <f>(1407.45*1000)/2.5</f>
        <v>562980</v>
      </c>
      <c r="E5" s="172" t="s">
        <v>238</v>
      </c>
      <c r="F5" s="183">
        <f>D5*B2</f>
        <v>131737320</v>
      </c>
    </row>
    <row r="6" spans="1:7" ht="12.75" customHeight="1">
      <c r="D6" s="200"/>
      <c r="E6" s="200"/>
      <c r="F6" s="183"/>
    </row>
    <row r="7" spans="1:7" ht="12.75" customHeight="1">
      <c r="A7" s="16" t="s">
        <v>239</v>
      </c>
      <c r="D7" s="240">
        <f>SUM(D4:D5)</f>
        <v>646620</v>
      </c>
      <c r="E7" s="172" t="s">
        <v>20</v>
      </c>
      <c r="F7" s="183">
        <f>SUM(F4:F5)</f>
        <v>151309080</v>
      </c>
    </row>
    <row r="8" spans="1:7" ht="12.75" customHeight="1">
      <c r="D8" s="4"/>
      <c r="E8" s="4"/>
    </row>
    <row r="9" spans="1:7" ht="12.75" customHeight="1">
      <c r="A9" s="4"/>
      <c r="B9" s="4"/>
      <c r="C9" s="4"/>
    </row>
    <row r="10" spans="1:7" ht="12.75" customHeight="1">
      <c r="A10" s="4" t="s">
        <v>240</v>
      </c>
      <c r="B10" s="4"/>
      <c r="C10" s="4">
        <f>'InfoInicial-CálcAux'!K19*'CA Inv AT'!B2</f>
        <v>378273.44646000001</v>
      </c>
    </row>
    <row r="11" spans="1:7" ht="12.75" customHeight="1">
      <c r="A11" s="4"/>
      <c r="B11" s="4"/>
      <c r="C11" s="4"/>
      <c r="D11" s="4"/>
      <c r="E11" s="4"/>
      <c r="F11" s="4"/>
      <c r="G11" s="4"/>
    </row>
    <row r="12" spans="1:7" ht="12.75" customHeight="1">
      <c r="A12" s="4"/>
      <c r="B12" s="4"/>
      <c r="C12" s="4"/>
      <c r="D12" s="4"/>
      <c r="E12" s="4"/>
      <c r="F12" s="4"/>
      <c r="G12" s="4"/>
    </row>
    <row r="13" spans="1:7" ht="12.75" customHeight="1">
      <c r="A13" s="4"/>
      <c r="B13" s="4"/>
      <c r="C13" s="4"/>
      <c r="D13" s="4"/>
      <c r="E13" s="4"/>
      <c r="F13" s="4"/>
      <c r="G13" s="4"/>
    </row>
    <row r="14" spans="1:7" ht="12.75" customHeight="1">
      <c r="A14" s="4"/>
      <c r="B14" s="4"/>
      <c r="C14" s="4"/>
    </row>
    <row r="15" spans="1:7" ht="12.75" customHeight="1">
      <c r="A15" s="4"/>
      <c r="B15" s="4"/>
      <c r="C15" s="4"/>
    </row>
    <row r="16" spans="1:7" ht="12.75" customHeight="1">
      <c r="A16" s="4"/>
      <c r="B16" s="4"/>
      <c r="C16" s="4"/>
    </row>
    <row r="17" spans="1:3" ht="12.75" customHeight="1">
      <c r="A17" s="4"/>
      <c r="B17" s="4"/>
      <c r="C17" s="4"/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7109375" defaultRowHeight="15" customHeight="1"/>
  <cols>
    <col min="1" max="6" width="10.7109375" customWidth="1"/>
    <col min="7" max="26" width="14.2851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F1002"/>
  <sheetViews>
    <sheetView showGridLines="0" topLeftCell="F41" zoomScale="70" zoomScaleNormal="70" workbookViewId="0">
      <selection activeCell="F41" sqref="F41"/>
    </sheetView>
  </sheetViews>
  <sheetFormatPr baseColWidth="10" defaultColWidth="12.7109375" defaultRowHeight="15" customHeight="1"/>
  <cols>
    <col min="1" max="1" width="4.140625" customWidth="1"/>
    <col min="2" max="2" width="12.28515625" customWidth="1"/>
    <col min="3" max="3" width="30.5703125" customWidth="1"/>
    <col min="4" max="4" width="19.140625" customWidth="1"/>
    <col min="5" max="5" width="31.28515625" customWidth="1"/>
    <col min="6" max="6" width="15.5703125" customWidth="1"/>
    <col min="7" max="7" width="18.7109375" customWidth="1"/>
    <col min="8" max="8" width="19.5703125" customWidth="1"/>
    <col min="9" max="9" width="17.42578125" bestFit="1" customWidth="1"/>
    <col min="10" max="10" width="20.5703125" customWidth="1"/>
    <col min="11" max="11" width="18.85546875" customWidth="1"/>
    <col min="12" max="12" width="29" customWidth="1"/>
    <col min="13" max="13" width="17.5703125" customWidth="1"/>
    <col min="14" max="14" width="16.7109375" customWidth="1"/>
    <col min="15" max="15" width="13.5703125" customWidth="1"/>
    <col min="16" max="18" width="17.7109375" customWidth="1"/>
    <col min="19" max="19" width="21.7109375" customWidth="1"/>
    <col min="20" max="20" width="18.85546875" customWidth="1"/>
    <col min="21" max="21" width="16.5703125" customWidth="1"/>
    <col min="22" max="22" width="21.28515625" customWidth="1"/>
    <col min="23" max="23" width="23.42578125" customWidth="1"/>
    <col min="24" max="24" width="10.7109375" customWidth="1"/>
    <col min="25" max="25" width="6.7109375" customWidth="1"/>
    <col min="26" max="32" width="10.7109375" customWidth="1"/>
  </cols>
  <sheetData>
    <row r="1" spans="1:14" ht="15" customHeight="1"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ht="12.75" customHeight="1">
      <c r="B2" s="993" t="s">
        <v>241</v>
      </c>
      <c r="C2" s="994"/>
      <c r="D2" s="994"/>
      <c r="E2" s="994"/>
      <c r="F2" s="994"/>
      <c r="G2" s="994"/>
      <c r="H2" s="994"/>
      <c r="I2" s="994"/>
      <c r="J2" s="994"/>
      <c r="K2" s="995"/>
      <c r="M2" s="159"/>
    </row>
    <row r="3" spans="1:14" ht="17.25" customHeight="1">
      <c r="B3" s="165" t="s">
        <v>242</v>
      </c>
      <c r="C3" s="167" t="s">
        <v>243</v>
      </c>
      <c r="D3" s="194"/>
      <c r="E3" s="167" t="s">
        <v>111</v>
      </c>
      <c r="F3" s="166" t="s">
        <v>244</v>
      </c>
      <c r="G3" s="169" t="s">
        <v>245</v>
      </c>
      <c r="H3" s="169" t="s">
        <v>246</v>
      </c>
      <c r="I3" s="169" t="s">
        <v>247</v>
      </c>
      <c r="J3" s="170" t="s">
        <v>248</v>
      </c>
      <c r="K3" s="168" t="s">
        <v>122</v>
      </c>
      <c r="M3" s="159"/>
    </row>
    <row r="4" spans="1:14" ht="13.5" customHeight="1">
      <c r="B4" s="327" t="s">
        <v>249</v>
      </c>
      <c r="C4" s="328" t="s">
        <v>250</v>
      </c>
      <c r="D4" s="329"/>
      <c r="E4" s="330">
        <v>1</v>
      </c>
      <c r="F4" s="331">
        <v>1</v>
      </c>
      <c r="G4" s="332" t="s">
        <v>238</v>
      </c>
      <c r="H4" s="333">
        <f>18930/50</f>
        <v>378.6</v>
      </c>
      <c r="I4" s="334">
        <f>H4*'InfoInicial-CálcAux'!$C$7</f>
        <v>204444000</v>
      </c>
      <c r="J4" s="335">
        <f>H4*'InfoInicial-CálcAux'!$D$7</f>
        <v>286221600</v>
      </c>
      <c r="K4" s="336" t="s">
        <v>251</v>
      </c>
      <c r="M4" s="159"/>
    </row>
    <row r="5" spans="1:14" ht="13.5" customHeight="1">
      <c r="B5" s="327" t="s">
        <v>252</v>
      </c>
      <c r="C5" s="337" t="s">
        <v>253</v>
      </c>
      <c r="D5" s="338"/>
      <c r="E5" s="330">
        <v>1</v>
      </c>
      <c r="F5" s="331">
        <v>2</v>
      </c>
      <c r="G5" s="339" t="s">
        <v>238</v>
      </c>
      <c r="H5" s="340">
        <f>(3600/6)/100</f>
        <v>6</v>
      </c>
      <c r="I5" s="334">
        <f>H5*'InfoInicial-CálcAux'!$C$7</f>
        <v>3240000</v>
      </c>
      <c r="J5" s="341">
        <f>H5*'InfoInicial-CálcAux'!$D$7</f>
        <v>4536000</v>
      </c>
      <c r="K5" s="342" t="s">
        <v>254</v>
      </c>
      <c r="M5" s="159"/>
    </row>
    <row r="6" spans="1:14" ht="12.75" customHeight="1">
      <c r="B6" s="327" t="s">
        <v>255</v>
      </c>
      <c r="C6" s="328" t="s">
        <v>256</v>
      </c>
      <c r="D6" s="329"/>
      <c r="E6" s="330">
        <v>4</v>
      </c>
      <c r="F6" s="331">
        <v>2.5</v>
      </c>
      <c r="G6" s="339" t="s">
        <v>257</v>
      </c>
      <c r="H6" s="343">
        <v>500</v>
      </c>
      <c r="I6" s="334">
        <f>H6*'InfoInicial-CálcAux'!$C$7+('InfoInicial-CálcAux'!$L$17/2.5)*H6</f>
        <v>601800000</v>
      </c>
      <c r="J6" s="341">
        <f>H6*'InfoInicial-CálcAux'!$D$7</f>
        <v>378000000</v>
      </c>
      <c r="K6" s="342" t="s">
        <v>258</v>
      </c>
      <c r="M6" s="159"/>
    </row>
    <row r="7" spans="1:14" ht="12.75" customHeight="1">
      <c r="B7" s="345" t="s">
        <v>259</v>
      </c>
      <c r="C7" s="346" t="s">
        <v>260</v>
      </c>
      <c r="D7" s="347"/>
      <c r="E7" s="331">
        <v>4</v>
      </c>
      <c r="F7" s="331">
        <v>4</v>
      </c>
      <c r="G7" s="339" t="s">
        <v>257</v>
      </c>
      <c r="H7" s="340">
        <f>'CA Inv AT'!B2</f>
        <v>234</v>
      </c>
      <c r="I7" s="344">
        <f>H7*'InfoInicial-CálcAux'!L17</f>
        <v>388206000</v>
      </c>
      <c r="J7" s="348">
        <f>H7*'InfoInicial-CálcAux'!D5*1000</f>
        <v>442260000</v>
      </c>
      <c r="K7" s="349" t="s">
        <v>261</v>
      </c>
      <c r="L7" s="159"/>
      <c r="M7" s="159"/>
    </row>
    <row r="8" spans="1:14" ht="12.75" customHeight="1">
      <c r="B8" s="345" t="s">
        <v>262</v>
      </c>
      <c r="C8" s="328" t="s">
        <v>263</v>
      </c>
      <c r="D8" s="350"/>
      <c r="E8" s="351">
        <v>1</v>
      </c>
      <c r="F8" s="351">
        <v>1</v>
      </c>
      <c r="G8" s="352" t="s">
        <v>238</v>
      </c>
      <c r="H8" s="353">
        <v>13.7</v>
      </c>
      <c r="I8" s="354">
        <f>H8*'InfoInicial-CálcAux'!C7</f>
        <v>7398000</v>
      </c>
      <c r="J8" s="355">
        <f>H8*'InfoInicial-CálcAux'!$D$7</f>
        <v>10357200</v>
      </c>
      <c r="K8" s="356" t="s">
        <v>264</v>
      </c>
      <c r="M8" s="159"/>
    </row>
    <row r="9" spans="1:14" ht="12.75" customHeight="1">
      <c r="D9" s="159"/>
      <c r="E9" s="357" t="s">
        <v>265</v>
      </c>
      <c r="F9" s="358"/>
      <c r="G9" s="359" t="s">
        <v>224</v>
      </c>
      <c r="H9" s="570">
        <f>SUM(H4:H8)</f>
        <v>1132.3</v>
      </c>
      <c r="I9" s="360">
        <f>SUM(I4:I8)</f>
        <v>1205088000</v>
      </c>
      <c r="J9" s="361">
        <f>SUM(J4:J8)</f>
        <v>1121374800</v>
      </c>
      <c r="K9" s="159"/>
      <c r="M9" s="159"/>
    </row>
    <row r="10" spans="1:14" ht="12.75" customHeight="1">
      <c r="H10" s="159"/>
      <c r="I10" s="159"/>
      <c r="J10" s="159"/>
      <c r="K10" s="159"/>
    </row>
    <row r="11" spans="1:14" ht="12.75" customHeight="1">
      <c r="B11">
        <f>'CA COSTOS'!H5</f>
        <v>6</v>
      </c>
      <c r="E11" s="23"/>
      <c r="I11" s="199"/>
    </row>
    <row r="12" spans="1:14" ht="12.75" customHeight="1">
      <c r="B12" s="171" t="s">
        <v>266</v>
      </c>
      <c r="E12" s="23"/>
    </row>
    <row r="13" spans="1:14" ht="12.75" customHeight="1">
      <c r="B13" s="159"/>
      <c r="C13" s="159"/>
      <c r="E13" s="23"/>
      <c r="G13" s="159"/>
      <c r="H13" s="159"/>
      <c r="K13" s="159"/>
    </row>
    <row r="14" spans="1:14" ht="12.75">
      <c r="A14" s="159"/>
      <c r="B14" s="1002" t="s">
        <v>267</v>
      </c>
      <c r="C14" s="1003"/>
      <c r="D14" s="188" t="s">
        <v>268</v>
      </c>
      <c r="E14" s="189" t="s">
        <v>269</v>
      </c>
      <c r="F14" s="190" t="s">
        <v>111</v>
      </c>
      <c r="G14" s="191" t="s">
        <v>270</v>
      </c>
      <c r="H14" s="192"/>
      <c r="I14" s="188" t="s">
        <v>271</v>
      </c>
      <c r="J14" s="190" t="s">
        <v>272</v>
      </c>
      <c r="K14" s="191" t="s">
        <v>122</v>
      </c>
      <c r="L14" s="164"/>
      <c r="M14" s="4"/>
      <c r="N14" s="4"/>
    </row>
    <row r="15" spans="1:14" ht="12.75" customHeight="1">
      <c r="A15" s="159"/>
      <c r="B15" s="1004" t="s">
        <v>273</v>
      </c>
      <c r="C15" s="1005"/>
      <c r="D15" s="362">
        <v>451829</v>
      </c>
      <c r="E15" s="363">
        <f>D15*1.43</f>
        <v>646115.47</v>
      </c>
      <c r="F15" s="364">
        <v>1</v>
      </c>
      <c r="G15" s="365">
        <f>E15*F15</f>
        <v>646115.47</v>
      </c>
      <c r="H15" s="1006" t="s">
        <v>274</v>
      </c>
      <c r="I15" s="1009">
        <f>SUM(G15:G24)</f>
        <v>3277058.07</v>
      </c>
      <c r="J15" s="367">
        <f>D15*0.83</f>
        <v>375018.07</v>
      </c>
      <c r="K15" s="368" t="s">
        <v>275</v>
      </c>
      <c r="L15" s="159"/>
    </row>
    <row r="16" spans="1:14" ht="12.75" customHeight="1">
      <c r="A16" s="159"/>
      <c r="B16" s="998" t="s">
        <v>276</v>
      </c>
      <c r="C16" s="999"/>
      <c r="D16" s="371">
        <v>285884</v>
      </c>
      <c r="E16" s="365">
        <f>D16*1.43</f>
        <v>408814.12</v>
      </c>
      <c r="F16" s="372">
        <v>1</v>
      </c>
      <c r="G16" s="365">
        <f t="shared" ref="G16:G28" si="0">E16*F16</f>
        <v>408814.12</v>
      </c>
      <c r="H16" s="1007"/>
      <c r="I16" s="1010"/>
      <c r="J16" s="373">
        <f t="shared" ref="J16:J28" si="1">D16*0.83</f>
        <v>237283.72</v>
      </c>
      <c r="K16" s="368" t="s">
        <v>275</v>
      </c>
      <c r="L16" s="159"/>
    </row>
    <row r="17" spans="1:12" ht="12.75" customHeight="1">
      <c r="A17" s="159"/>
      <c r="B17" s="998" t="s">
        <v>277</v>
      </c>
      <c r="C17" s="999"/>
      <c r="D17" s="371">
        <v>137602</v>
      </c>
      <c r="E17" s="365">
        <f t="shared" ref="E17:E28" si="2">D17*1.43</f>
        <v>196770.86</v>
      </c>
      <c r="F17" s="372">
        <v>1</v>
      </c>
      <c r="G17" s="365">
        <f t="shared" si="0"/>
        <v>196770.86</v>
      </c>
      <c r="H17" s="1007"/>
      <c r="I17" s="1010"/>
      <c r="J17" s="373">
        <f t="shared" si="1"/>
        <v>114209.65999999999</v>
      </c>
      <c r="K17" s="368" t="s">
        <v>278</v>
      </c>
      <c r="L17" s="159"/>
    </row>
    <row r="18" spans="1:12" ht="12.75" customHeight="1">
      <c r="A18" s="159"/>
      <c r="B18" s="369" t="s">
        <v>279</v>
      </c>
      <c r="C18" s="370"/>
      <c r="D18" s="371">
        <v>101156</v>
      </c>
      <c r="E18" s="365">
        <f t="shared" ref="E18:E27" si="3">D18*1.43</f>
        <v>144653.07999999999</v>
      </c>
      <c r="F18" s="372">
        <v>1</v>
      </c>
      <c r="G18" s="365">
        <f t="shared" ref="G18:G27" si="4">E18*F18</f>
        <v>144653.07999999999</v>
      </c>
      <c r="H18" s="1007"/>
      <c r="I18" s="1010"/>
      <c r="J18" s="373">
        <f t="shared" ref="J18:J27" si="5">D18*0.83</f>
        <v>83959.48</v>
      </c>
      <c r="K18" s="368" t="s">
        <v>278</v>
      </c>
      <c r="L18" s="159"/>
    </row>
    <row r="19" spans="1:12" ht="12.75" customHeight="1">
      <c r="A19" s="159"/>
      <c r="B19" s="369" t="s">
        <v>280</v>
      </c>
      <c r="C19" s="370"/>
      <c r="D19" s="371">
        <v>90584</v>
      </c>
      <c r="E19" s="365">
        <f t="shared" si="3"/>
        <v>129535.12</v>
      </c>
      <c r="F19" s="372">
        <v>1</v>
      </c>
      <c r="G19" s="365">
        <f t="shared" si="4"/>
        <v>129535.12</v>
      </c>
      <c r="H19" s="1007"/>
      <c r="I19" s="1010"/>
      <c r="J19" s="373">
        <f t="shared" si="5"/>
        <v>75184.72</v>
      </c>
      <c r="K19" s="368" t="s">
        <v>275</v>
      </c>
      <c r="L19" s="159"/>
    </row>
    <row r="20" spans="1:12" ht="12.75" customHeight="1">
      <c r="A20" s="159"/>
      <c r="B20" s="369" t="s">
        <v>281</v>
      </c>
      <c r="C20" s="370"/>
      <c r="D20" s="371">
        <v>108008</v>
      </c>
      <c r="E20" s="365">
        <f t="shared" si="3"/>
        <v>154451.44</v>
      </c>
      <c r="F20" s="372">
        <v>1</v>
      </c>
      <c r="G20" s="365">
        <f t="shared" si="4"/>
        <v>154451.44</v>
      </c>
      <c r="H20" s="1007"/>
      <c r="I20" s="1010"/>
      <c r="J20" s="373">
        <f t="shared" si="5"/>
        <v>89646.64</v>
      </c>
      <c r="K20" s="368" t="s">
        <v>282</v>
      </c>
      <c r="L20" s="159"/>
    </row>
    <row r="21" spans="1:12" ht="12.75" customHeight="1">
      <c r="A21" s="159"/>
      <c r="B21" s="369" t="s">
        <v>283</v>
      </c>
      <c r="C21" s="370"/>
      <c r="D21" s="371">
        <v>90584</v>
      </c>
      <c r="E21" s="365">
        <f t="shared" si="3"/>
        <v>129535.12</v>
      </c>
      <c r="F21" s="372">
        <v>1</v>
      </c>
      <c r="G21" s="365">
        <f t="shared" si="4"/>
        <v>129535.12</v>
      </c>
      <c r="H21" s="1007"/>
      <c r="I21" s="1010"/>
      <c r="J21" s="373">
        <f t="shared" si="5"/>
        <v>75184.72</v>
      </c>
      <c r="K21" s="368" t="s">
        <v>275</v>
      </c>
      <c r="L21" s="159"/>
    </row>
    <row r="22" spans="1:12" ht="12.75" customHeight="1">
      <c r="A22" s="159"/>
      <c r="B22" s="369" t="s">
        <v>284</v>
      </c>
      <c r="C22" s="370"/>
      <c r="D22" s="371">
        <v>106644</v>
      </c>
      <c r="E22" s="365">
        <f t="shared" si="3"/>
        <v>152500.91999999998</v>
      </c>
      <c r="F22" s="372">
        <v>1</v>
      </c>
      <c r="G22" s="365">
        <f t="shared" si="4"/>
        <v>152500.91999999998</v>
      </c>
      <c r="H22" s="1007"/>
      <c r="I22" s="1010"/>
      <c r="J22" s="373">
        <f t="shared" si="5"/>
        <v>88514.51999999999</v>
      </c>
      <c r="K22" s="368" t="s">
        <v>278</v>
      </c>
      <c r="L22" s="159"/>
    </row>
    <row r="23" spans="1:12" ht="12.75" customHeight="1">
      <c r="A23" s="159"/>
      <c r="B23" s="369" t="s">
        <v>285</v>
      </c>
      <c r="C23" s="370"/>
      <c r="D23" s="371">
        <v>106013</v>
      </c>
      <c r="E23" s="365">
        <f t="shared" si="3"/>
        <v>151598.59</v>
      </c>
      <c r="F23" s="372">
        <v>8</v>
      </c>
      <c r="G23" s="365">
        <f t="shared" si="4"/>
        <v>1212788.72</v>
      </c>
      <c r="H23" s="1007"/>
      <c r="I23" s="1010"/>
      <c r="J23" s="373">
        <f t="shared" si="5"/>
        <v>87990.79</v>
      </c>
      <c r="K23" s="368" t="s">
        <v>278</v>
      </c>
      <c r="L23" s="159"/>
    </row>
    <row r="24" spans="1:12" ht="12.75" customHeight="1">
      <c r="A24" s="159"/>
      <c r="B24" s="998" t="s">
        <v>286</v>
      </c>
      <c r="C24" s="999"/>
      <c r="D24" s="371">
        <v>71254</v>
      </c>
      <c r="E24" s="365">
        <f t="shared" si="3"/>
        <v>101893.22</v>
      </c>
      <c r="F24" s="372">
        <v>1</v>
      </c>
      <c r="G24" s="365">
        <f t="shared" si="4"/>
        <v>101893.22</v>
      </c>
      <c r="H24" s="1008"/>
      <c r="I24" s="1011"/>
      <c r="J24" s="373">
        <f t="shared" si="5"/>
        <v>59140.82</v>
      </c>
      <c r="K24" s="375" t="s">
        <v>287</v>
      </c>
      <c r="L24" s="159"/>
    </row>
    <row r="25" spans="1:12" s="242" customFormat="1" ht="14.25" customHeight="1">
      <c r="A25" s="241"/>
      <c r="B25" s="1004" t="s">
        <v>288</v>
      </c>
      <c r="C25" s="1005"/>
      <c r="D25" s="366">
        <v>137602</v>
      </c>
      <c r="E25" s="376">
        <f t="shared" si="3"/>
        <v>196770.86</v>
      </c>
      <c r="F25" s="364">
        <v>1</v>
      </c>
      <c r="G25" s="376">
        <f t="shared" si="4"/>
        <v>196770.86</v>
      </c>
      <c r="H25" s="1006" t="s">
        <v>289</v>
      </c>
      <c r="I25" s="1009">
        <f>SUM(G25:G28)</f>
        <v>3884899.59</v>
      </c>
      <c r="J25" s="366">
        <f t="shared" si="5"/>
        <v>114209.65999999999</v>
      </c>
      <c r="K25" s="377" t="s">
        <v>290</v>
      </c>
      <c r="L25" s="241"/>
    </row>
    <row r="26" spans="1:12" ht="12.75" customHeight="1">
      <c r="A26" s="159"/>
      <c r="B26" s="998" t="s">
        <v>291</v>
      </c>
      <c r="C26" s="999"/>
      <c r="D26" s="371">
        <v>120963</v>
      </c>
      <c r="E26" s="365">
        <f t="shared" si="3"/>
        <v>172977.09</v>
      </c>
      <c r="F26" s="372">
        <v>1</v>
      </c>
      <c r="G26" s="365">
        <f t="shared" si="4"/>
        <v>172977.09</v>
      </c>
      <c r="H26" s="1007"/>
      <c r="I26" s="1010"/>
      <c r="J26" s="371">
        <f t="shared" si="5"/>
        <v>100399.29</v>
      </c>
      <c r="K26" s="378" t="s">
        <v>292</v>
      </c>
      <c r="L26" s="159"/>
    </row>
    <row r="27" spans="1:12" ht="12.75" customHeight="1">
      <c r="A27" s="159"/>
      <c r="B27" s="998" t="s">
        <v>293</v>
      </c>
      <c r="C27" s="999"/>
      <c r="D27" s="371">
        <v>118340</v>
      </c>
      <c r="E27" s="365">
        <f t="shared" si="3"/>
        <v>169226.19999999998</v>
      </c>
      <c r="F27" s="372">
        <v>1</v>
      </c>
      <c r="G27" s="365">
        <f t="shared" si="4"/>
        <v>169226.19999999998</v>
      </c>
      <c r="H27" s="1007"/>
      <c r="I27" s="1010"/>
      <c r="J27" s="371">
        <f t="shared" si="5"/>
        <v>98222.2</v>
      </c>
      <c r="K27" s="379" t="s">
        <v>292</v>
      </c>
      <c r="L27" s="159"/>
    </row>
    <row r="28" spans="1:12" ht="12.75" customHeight="1">
      <c r="A28" s="159"/>
      <c r="B28" s="1000" t="s">
        <v>294</v>
      </c>
      <c r="C28" s="1001"/>
      <c r="D28" s="380">
        <v>97492</v>
      </c>
      <c r="E28" s="381">
        <f t="shared" si="2"/>
        <v>139413.56</v>
      </c>
      <c r="F28" s="374">
        <v>24</v>
      </c>
      <c r="G28" s="381">
        <f t="shared" si="0"/>
        <v>3345925.44</v>
      </c>
      <c r="H28" s="1008"/>
      <c r="I28" s="1011"/>
      <c r="J28" s="380">
        <f t="shared" si="1"/>
        <v>80918.36</v>
      </c>
      <c r="K28" s="382"/>
      <c r="L28" s="159"/>
    </row>
    <row r="29" spans="1:12" ht="12.75" customHeight="1">
      <c r="B29" s="159"/>
      <c r="C29" s="159"/>
      <c r="D29" s="159"/>
      <c r="E29" s="159"/>
      <c r="F29" s="159"/>
      <c r="G29" s="380">
        <f>SUM(G15:G28)</f>
        <v>7161957.6600000001</v>
      </c>
      <c r="H29" s="159"/>
      <c r="I29" s="159"/>
      <c r="J29" s="383">
        <f>SUM(J15:J28)</f>
        <v>1679882.6500000001</v>
      </c>
      <c r="K29" s="159"/>
    </row>
    <row r="30" spans="1:12" ht="12.75" customHeight="1"/>
    <row r="31" spans="1:12" ht="12.75" customHeight="1">
      <c r="C31" s="36" t="s">
        <v>295</v>
      </c>
    </row>
    <row r="32" spans="1:12" ht="12.75" customHeight="1"/>
    <row r="33" spans="3:32" ht="12.75" customHeight="1">
      <c r="C33" s="173" t="s">
        <v>296</v>
      </c>
      <c r="D33" s="173"/>
      <c r="E33" s="173"/>
      <c r="F33" s="174"/>
      <c r="K33" s="173" t="s">
        <v>297</v>
      </c>
      <c r="L33" s="173"/>
      <c r="M33" s="37"/>
      <c r="N33" s="37" t="s">
        <v>298</v>
      </c>
      <c r="O33" s="37"/>
      <c r="P33" s="37"/>
      <c r="Q33" s="37"/>
      <c r="T33" s="37"/>
      <c r="W33" s="37"/>
      <c r="X33" s="37"/>
    </row>
    <row r="34" spans="3:32" ht="12.75" customHeight="1"/>
    <row r="35" spans="3:32" ht="12.75" customHeight="1">
      <c r="C35" s="4" t="s">
        <v>299</v>
      </c>
      <c r="E35" s="39">
        <f>'E-Inv AF y Am'!D57*0.95</f>
        <v>65071020.517284892</v>
      </c>
      <c r="G35" s="4" t="s">
        <v>300</v>
      </c>
      <c r="H35" s="39">
        <f>E35/E40</f>
        <v>157.34550547638136</v>
      </c>
      <c r="I35" s="4" t="s">
        <v>301</v>
      </c>
      <c r="K35" s="4" t="s">
        <v>299</v>
      </c>
      <c r="L35" s="39">
        <f>'E-Inv AF y Am'!D57*0.025</f>
        <v>1712395.2767706551</v>
      </c>
      <c r="N35" s="4" t="s">
        <v>299</v>
      </c>
      <c r="O35" s="39">
        <f>L35</f>
        <v>1712395.2767706551</v>
      </c>
      <c r="P35" s="4"/>
      <c r="Q35" s="4"/>
    </row>
    <row r="36" spans="3:32" ht="12.75" customHeight="1">
      <c r="C36" s="4" t="s">
        <v>302</v>
      </c>
      <c r="E36" s="39">
        <f>'E-Inv AF y Am'!E57*0.95</f>
        <v>65071020.517284892</v>
      </c>
      <c r="G36" s="4" t="s">
        <v>303</v>
      </c>
      <c r="H36" s="39">
        <f>E35/E38</f>
        <v>134.61781411837759</v>
      </c>
      <c r="I36" s="4" t="s">
        <v>304</v>
      </c>
      <c r="K36" s="4" t="s">
        <v>302</v>
      </c>
      <c r="L36" s="39">
        <f>'E-Inv AF y Am'!E57*0.025</f>
        <v>1712395.2767706551</v>
      </c>
      <c r="N36" s="4" t="s">
        <v>302</v>
      </c>
      <c r="O36" s="39">
        <f>L36</f>
        <v>1712395.2767706551</v>
      </c>
      <c r="P36" s="4"/>
      <c r="Q36" s="4"/>
    </row>
    <row r="37" spans="3:32" ht="12.75" customHeight="1">
      <c r="C37" s="4" t="s">
        <v>305</v>
      </c>
      <c r="E37" s="384">
        <f>1890*1000</f>
        <v>1890000</v>
      </c>
      <c r="F37" s="16" t="s">
        <v>306</v>
      </c>
      <c r="G37" s="16"/>
      <c r="L37" s="39"/>
    </row>
    <row r="38" spans="3:32" ht="12.75" customHeight="1">
      <c r="C38" s="4" t="s">
        <v>305</v>
      </c>
      <c r="E38" s="16">
        <f>ROUNDUP(E37/3.91,0)</f>
        <v>483376</v>
      </c>
      <c r="F38" s="16" t="s">
        <v>307</v>
      </c>
      <c r="R38" t="s">
        <v>308</v>
      </c>
      <c r="S38" t="s">
        <v>309</v>
      </c>
    </row>
    <row r="39" spans="3:32" ht="12.75" customHeight="1">
      <c r="C39" s="4" t="s">
        <v>310</v>
      </c>
      <c r="E39" s="384">
        <f>1617*1000</f>
        <v>1617000</v>
      </c>
      <c r="F39" s="16" t="s">
        <v>306</v>
      </c>
      <c r="R39" t="s">
        <v>311</v>
      </c>
      <c r="S39">
        <v>2989.49</v>
      </c>
    </row>
    <row r="40" spans="3:32" ht="12.75" customHeight="1">
      <c r="C40" s="4" t="s">
        <v>310</v>
      </c>
      <c r="E40" s="16">
        <f>ROUNDUP(E39/3.91,0)</f>
        <v>413555</v>
      </c>
      <c r="F40" t="s">
        <v>312</v>
      </c>
      <c r="R40" t="s">
        <v>313</v>
      </c>
      <c r="S40">
        <v>206.14</v>
      </c>
    </row>
    <row r="41" spans="3:32" ht="12.75" customHeight="1">
      <c r="C41" s="4" t="s">
        <v>314</v>
      </c>
      <c r="E41" s="39">
        <f>E36/E38</f>
        <v>134.61781411837759</v>
      </c>
      <c r="R41" t="s">
        <v>315</v>
      </c>
      <c r="S41">
        <v>1.64</v>
      </c>
    </row>
    <row r="42" spans="3:32" ht="12.75" customHeight="1">
      <c r="C42" s="4"/>
      <c r="D42" s="16"/>
      <c r="E42" s="3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3:32" ht="12.75" customHeight="1">
      <c r="C43" s="417"/>
      <c r="D43" s="418" t="s">
        <v>2</v>
      </c>
      <c r="E43" s="419" t="s">
        <v>3</v>
      </c>
      <c r="F43" s="418" t="s">
        <v>4</v>
      </c>
      <c r="G43" s="418" t="s">
        <v>5</v>
      </c>
      <c r="H43" s="420" t="s">
        <v>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3:32" ht="12.75" customHeight="1">
      <c r="C44" s="421" t="s">
        <v>316</v>
      </c>
      <c r="D44" s="385">
        <f>E35</f>
        <v>65071020.517284892</v>
      </c>
      <c r="E44" s="385">
        <f>D44</f>
        <v>65071020.517284892</v>
      </c>
      <c r="F44" s="385">
        <f>E44</f>
        <v>65071020.517284892</v>
      </c>
      <c r="G44" s="385">
        <f>E36</f>
        <v>65071020.517284892</v>
      </c>
      <c r="H44" s="386">
        <f>G44</f>
        <v>65071020.517284892</v>
      </c>
      <c r="T44" s="226"/>
    </row>
    <row r="45" spans="3:32" ht="12.75" customHeight="1"/>
    <row r="46" spans="3:32" ht="12.75" customHeight="1">
      <c r="C46" s="49" t="s">
        <v>317</v>
      </c>
      <c r="D46" s="37"/>
      <c r="E46" s="37"/>
      <c r="O46" s="176"/>
      <c r="S46" s="250"/>
      <c r="T46" s="252"/>
    </row>
    <row r="47" spans="3:32" ht="12.75" customHeight="1">
      <c r="S47" s="251" t="s">
        <v>318</v>
      </c>
      <c r="T47" s="248">
        <f>T85</f>
        <v>0.2177429925981724</v>
      </c>
      <c r="U47" s="226">
        <f>SUM(U54:U66)/U73</f>
        <v>0.78225700740182746</v>
      </c>
    </row>
    <row r="48" spans="3:32" ht="12.75" customHeight="1">
      <c r="C48" s="4" t="s">
        <v>300</v>
      </c>
      <c r="D48" s="50">
        <f>H35*'InfoInicial-CálcAux'!L16</f>
        <v>6608511.2300080173</v>
      </c>
      <c r="E48" s="51"/>
      <c r="S48" s="251" t="s">
        <v>319</v>
      </c>
      <c r="T48" s="178">
        <v>0.38</v>
      </c>
      <c r="U48" s="226">
        <f>SUM(U67:U72)/U73</f>
        <v>0.2177429925981724</v>
      </c>
    </row>
    <row r="49" spans="3:24" ht="12.75" customHeight="1">
      <c r="C49" s="4" t="s">
        <v>303</v>
      </c>
      <c r="D49" s="39">
        <f>H36*'InfoInicial-CálcAux'!M16</f>
        <v>5653948.1929718591</v>
      </c>
      <c r="S49" s="228" t="s">
        <v>320</v>
      </c>
      <c r="T49" s="249">
        <v>244</v>
      </c>
    </row>
    <row r="50" spans="3:24" ht="12.75" customHeight="1">
      <c r="C50" s="4" t="s">
        <v>321</v>
      </c>
      <c r="D50" s="39">
        <f>E41*'InfoInicial-CálcAux'!M16</f>
        <v>5653948.1929718591</v>
      </c>
    </row>
    <row r="51" spans="3:24" ht="12.75" customHeight="1">
      <c r="C51" s="4"/>
    </row>
    <row r="52" spans="3:24" ht="12.75" customHeight="1" thickBot="1">
      <c r="L52" s="224"/>
      <c r="M52" s="223"/>
      <c r="V52" s="209">
        <v>12</v>
      </c>
    </row>
    <row r="53" spans="3:24" ht="12.75" customHeight="1" thickBot="1">
      <c r="C53" s="977" t="s">
        <v>322</v>
      </c>
      <c r="D53" s="991"/>
      <c r="E53" s="991"/>
      <c r="F53" s="991"/>
      <c r="G53" s="991"/>
      <c r="H53" s="992"/>
      <c r="I53" s="223" t="s">
        <v>323</v>
      </c>
      <c r="K53" s="425" t="s">
        <v>110</v>
      </c>
      <c r="L53" s="426" t="s">
        <v>111</v>
      </c>
      <c r="M53" s="427" t="s">
        <v>324</v>
      </c>
      <c r="N53" s="426" t="s">
        <v>325</v>
      </c>
      <c r="O53" s="426" t="s">
        <v>326</v>
      </c>
      <c r="P53" s="426" t="s">
        <v>327</v>
      </c>
      <c r="Q53" s="426" t="s">
        <v>328</v>
      </c>
      <c r="R53" s="426" t="s">
        <v>329</v>
      </c>
      <c r="S53" s="426" t="s">
        <v>330</v>
      </c>
      <c r="T53" s="548" t="s">
        <v>331</v>
      </c>
      <c r="U53" s="549" t="s">
        <v>332</v>
      </c>
      <c r="V53" s="427" t="s">
        <v>333</v>
      </c>
      <c r="X53" s="159"/>
    </row>
    <row r="54" spans="3:24" ht="12.75" customHeight="1">
      <c r="C54" s="4"/>
      <c r="D54" s="4" t="s">
        <v>334</v>
      </c>
      <c r="E54" s="16" t="s">
        <v>335</v>
      </c>
      <c r="F54" s="16" t="s">
        <v>336</v>
      </c>
      <c r="G54" s="16" t="s">
        <v>337</v>
      </c>
      <c r="H54" s="3" t="s">
        <v>122</v>
      </c>
      <c r="K54" s="404" t="s">
        <v>338</v>
      </c>
      <c r="L54" s="405">
        <v>2</v>
      </c>
      <c r="M54" s="405">
        <f>6.048/12</f>
        <v>0.504</v>
      </c>
      <c r="N54" s="405">
        <f>L54*M54</f>
        <v>1.008</v>
      </c>
      <c r="O54" s="405">
        <f t="shared" ref="O54:O66" si="6">N54*$T$49*T54</f>
        <v>1475.712</v>
      </c>
      <c r="P54" s="405">
        <f t="shared" ref="P54:P66" si="7">L54*$T$48*M54</f>
        <v>0.38303999999999999</v>
      </c>
      <c r="Q54" s="405">
        <f t="shared" ref="Q54:Q67" si="8">P54*T54*$T$49</f>
        <v>560.77055999999993</v>
      </c>
      <c r="R54" s="405">
        <f t="shared" ref="R54:R66" si="9">M54*$T$48*L54</f>
        <v>0.38303999999999999</v>
      </c>
      <c r="S54" s="405">
        <f t="shared" ref="S54:S67" si="10">R54*T54*$T$49</f>
        <v>560.77055999999993</v>
      </c>
      <c r="T54" s="405">
        <v>6</v>
      </c>
      <c r="U54" s="412">
        <f>O54+Q54+S54</f>
        <v>2597.2531199999999</v>
      </c>
      <c r="V54" s="406">
        <f t="shared" ref="V54:V72" si="11">U54/$V$52</f>
        <v>216.43776</v>
      </c>
      <c r="X54" s="159"/>
    </row>
    <row r="55" spans="3:24" ht="15" customHeight="1">
      <c r="C55" s="4" t="s">
        <v>25</v>
      </c>
      <c r="D55" s="52">
        <f>O73</f>
        <v>2335719.5532799996</v>
      </c>
      <c r="E55" s="52">
        <f>D55/12*E61</f>
        <v>319215.00561493327</v>
      </c>
      <c r="F55" s="52">
        <f>$D$61/3+E55</f>
        <v>320211.50228159991</v>
      </c>
      <c r="G55" s="52">
        <f>F55*12</f>
        <v>3842538.0273791989</v>
      </c>
      <c r="H55" s="3" t="s">
        <v>339</v>
      </c>
      <c r="K55" s="407" t="s">
        <v>133</v>
      </c>
      <c r="L55" s="408">
        <v>5</v>
      </c>
      <c r="M55" s="408">
        <v>34.200000000000003</v>
      </c>
      <c r="N55" s="408">
        <f t="shared" ref="N55:N66" si="12">L55*M55</f>
        <v>171</v>
      </c>
      <c r="O55" s="408">
        <f t="shared" si="6"/>
        <v>83448</v>
      </c>
      <c r="P55" s="408">
        <f t="shared" si="7"/>
        <v>64.98</v>
      </c>
      <c r="Q55" s="408">
        <f t="shared" si="8"/>
        <v>31710.240000000002</v>
      </c>
      <c r="R55" s="408">
        <f t="shared" si="9"/>
        <v>64.98</v>
      </c>
      <c r="S55" s="408">
        <f t="shared" si="10"/>
        <v>31710.240000000002</v>
      </c>
      <c r="T55" s="408">
        <v>2</v>
      </c>
      <c r="U55" s="412">
        <f t="shared" ref="U55:U72" si="13">O55+Q55+S55</f>
        <v>146868.48000000001</v>
      </c>
      <c r="V55" s="409">
        <f t="shared" si="11"/>
        <v>12239.04</v>
      </c>
      <c r="X55" s="159"/>
    </row>
    <row r="56" spans="3:24" ht="12.75" customHeight="1">
      <c r="C56" s="4" t="s">
        <v>340</v>
      </c>
      <c r="D56" s="52">
        <f>S73</f>
        <v>887573.43024640006</v>
      </c>
      <c r="E56" s="52">
        <f>D56/12*E61</f>
        <v>121301.70213367465</v>
      </c>
      <c r="F56" s="52">
        <f t="shared" ref="F56:F57" si="14">$D$61/3+E56</f>
        <v>122298.19880034133</v>
      </c>
      <c r="G56" s="52">
        <f t="shared" ref="G56:G57" si="15">F56*12</f>
        <v>1467578.3856040959</v>
      </c>
      <c r="H56" s="3" t="s">
        <v>339</v>
      </c>
      <c r="K56" s="407" t="s">
        <v>341</v>
      </c>
      <c r="L56" s="408">
        <v>2</v>
      </c>
      <c r="M56" s="408">
        <f>147.84/12</f>
        <v>12.32</v>
      </c>
      <c r="N56" s="408">
        <f t="shared" si="12"/>
        <v>24.64</v>
      </c>
      <c r="O56" s="408">
        <f t="shared" si="6"/>
        <v>12024.32</v>
      </c>
      <c r="P56" s="408">
        <f t="shared" si="7"/>
        <v>9.3632000000000009</v>
      </c>
      <c r="Q56" s="408">
        <f t="shared" si="8"/>
        <v>4569.2416000000003</v>
      </c>
      <c r="R56" s="408">
        <f t="shared" si="9"/>
        <v>9.3632000000000009</v>
      </c>
      <c r="S56" s="408">
        <f t="shared" si="10"/>
        <v>4569.2416000000003</v>
      </c>
      <c r="T56" s="408">
        <v>2</v>
      </c>
      <c r="U56" s="412">
        <f>O56+Q56+S56</f>
        <v>21162.803200000002</v>
      </c>
      <c r="V56" s="409">
        <f t="shared" si="11"/>
        <v>1763.5669333333335</v>
      </c>
      <c r="X56" s="159"/>
    </row>
    <row r="57" spans="3:24" ht="12.75" customHeight="1">
      <c r="C57" s="4" t="s">
        <v>342</v>
      </c>
      <c r="D57" s="52">
        <f>Q73</f>
        <v>887573.43024640006</v>
      </c>
      <c r="E57" s="52">
        <f>D57/12*E61</f>
        <v>121301.70213367465</v>
      </c>
      <c r="F57" s="52">
        <f t="shared" si="14"/>
        <v>122298.19880034133</v>
      </c>
      <c r="G57" s="52">
        <f t="shared" si="15"/>
        <v>1467578.3856040959</v>
      </c>
      <c r="H57" s="3" t="s">
        <v>339</v>
      </c>
      <c r="K57" s="407" t="s">
        <v>343</v>
      </c>
      <c r="L57" s="408">
        <v>1</v>
      </c>
      <c r="M57" s="408">
        <f>777.6/12</f>
        <v>64.8</v>
      </c>
      <c r="N57" s="408">
        <f t="shared" si="12"/>
        <v>64.8</v>
      </c>
      <c r="O57" s="408">
        <f t="shared" si="6"/>
        <v>63244.799999999996</v>
      </c>
      <c r="P57" s="408">
        <f t="shared" si="7"/>
        <v>24.623999999999999</v>
      </c>
      <c r="Q57" s="408">
        <f t="shared" si="8"/>
        <v>24033.023999999998</v>
      </c>
      <c r="R57" s="408">
        <f t="shared" si="9"/>
        <v>24.623999999999999</v>
      </c>
      <c r="S57" s="408">
        <f t="shared" si="10"/>
        <v>24033.023999999998</v>
      </c>
      <c r="T57" s="408">
        <v>4</v>
      </c>
      <c r="U57" s="412">
        <f t="shared" si="13"/>
        <v>111310.848</v>
      </c>
      <c r="V57" s="409">
        <f t="shared" si="11"/>
        <v>9275.9040000000005</v>
      </c>
      <c r="X57" s="159"/>
    </row>
    <row r="58" spans="3:24" ht="12.75" customHeight="1">
      <c r="D58" s="16"/>
      <c r="E58" s="16"/>
      <c r="F58" s="16"/>
      <c r="G58" s="16"/>
      <c r="H58" s="4"/>
      <c r="K58" s="407" t="s">
        <v>344</v>
      </c>
      <c r="L58" s="408">
        <v>2</v>
      </c>
      <c r="M58" s="408">
        <f>2304/12</f>
        <v>192</v>
      </c>
      <c r="N58" s="408">
        <f t="shared" si="12"/>
        <v>384</v>
      </c>
      <c r="O58" s="408">
        <f t="shared" si="6"/>
        <v>281088</v>
      </c>
      <c r="P58" s="408">
        <f t="shared" si="7"/>
        <v>145.92000000000002</v>
      </c>
      <c r="Q58" s="408">
        <f t="shared" si="8"/>
        <v>106813.44000000002</v>
      </c>
      <c r="R58" s="408">
        <f t="shared" si="9"/>
        <v>145.92000000000002</v>
      </c>
      <c r="S58" s="408">
        <f t="shared" si="10"/>
        <v>106813.44000000002</v>
      </c>
      <c r="T58" s="408">
        <v>3</v>
      </c>
      <c r="U58" s="412">
        <f t="shared" si="13"/>
        <v>494714.88</v>
      </c>
      <c r="V58" s="409">
        <f t="shared" si="11"/>
        <v>41226.239999999998</v>
      </c>
      <c r="X58" s="159"/>
    </row>
    <row r="59" spans="3:24" ht="12.75" customHeight="1">
      <c r="C59" s="4"/>
      <c r="D59" s="16"/>
      <c r="E59" s="16"/>
      <c r="F59" s="16"/>
      <c r="G59" s="52"/>
      <c r="K59" s="407" t="s">
        <v>345</v>
      </c>
      <c r="L59" s="408">
        <v>4</v>
      </c>
      <c r="M59" s="408">
        <f>2557.44/12</f>
        <v>213.12</v>
      </c>
      <c r="N59" s="408">
        <f t="shared" si="12"/>
        <v>852.48</v>
      </c>
      <c r="O59" s="408">
        <f t="shared" si="6"/>
        <v>1664040.96</v>
      </c>
      <c r="P59" s="408">
        <f t="shared" si="7"/>
        <v>323.94240000000002</v>
      </c>
      <c r="Q59" s="408">
        <f t="shared" si="8"/>
        <v>632335.56480000005</v>
      </c>
      <c r="R59" s="408">
        <f t="shared" si="9"/>
        <v>323.94240000000002</v>
      </c>
      <c r="S59" s="408">
        <f t="shared" si="10"/>
        <v>632335.56480000005</v>
      </c>
      <c r="T59" s="408">
        <v>8</v>
      </c>
      <c r="U59" s="412">
        <f t="shared" si="13"/>
        <v>2928712.0895999996</v>
      </c>
      <c r="V59" s="409">
        <f t="shared" si="11"/>
        <v>244059.34079999998</v>
      </c>
      <c r="X59" s="159"/>
    </row>
    <row r="60" spans="3:24" ht="12.75" customHeight="1">
      <c r="C60" s="4" t="s">
        <v>334</v>
      </c>
      <c r="D60" s="163" t="s">
        <v>346</v>
      </c>
      <c r="E60" s="163" t="s">
        <v>335</v>
      </c>
      <c r="F60" s="16" t="s">
        <v>336</v>
      </c>
      <c r="G60" s="16"/>
      <c r="K60" s="407" t="s">
        <v>129</v>
      </c>
      <c r="L60" s="408">
        <v>2</v>
      </c>
      <c r="M60" s="408">
        <f>15.84/12</f>
        <v>1.32</v>
      </c>
      <c r="N60" s="408">
        <f t="shared" si="12"/>
        <v>2.64</v>
      </c>
      <c r="O60" s="408">
        <f t="shared" si="6"/>
        <v>5797.4400000000005</v>
      </c>
      <c r="P60" s="408">
        <f t="shared" si="7"/>
        <v>1.0032000000000001</v>
      </c>
      <c r="Q60" s="408">
        <f t="shared" si="8"/>
        <v>2203.0272</v>
      </c>
      <c r="R60" s="408">
        <f t="shared" si="9"/>
        <v>1.0032000000000001</v>
      </c>
      <c r="S60" s="408">
        <f t="shared" si="10"/>
        <v>2203.0272</v>
      </c>
      <c r="T60" s="408">
        <v>9</v>
      </c>
      <c r="U60" s="412">
        <f t="shared" si="13"/>
        <v>10203.494400000001</v>
      </c>
      <c r="V60" s="409">
        <f t="shared" si="11"/>
        <v>850.29120000000012</v>
      </c>
      <c r="X60" s="159"/>
    </row>
    <row r="61" spans="3:24" ht="12.75" customHeight="1">
      <c r="C61" s="387">
        <f>U73</f>
        <v>5271222.4812512007</v>
      </c>
      <c r="D61" s="64">
        <f>S39</f>
        <v>2989.49</v>
      </c>
      <c r="E61" s="63">
        <f>S41</f>
        <v>1.64</v>
      </c>
      <c r="F61" s="582">
        <f>D61+((C61/12)*E61)</f>
        <v>723389.89577099739</v>
      </c>
      <c r="K61" s="407" t="s">
        <v>347</v>
      </c>
      <c r="L61" s="408">
        <v>1</v>
      </c>
      <c r="M61" s="408">
        <v>0.13824</v>
      </c>
      <c r="N61" s="408">
        <f t="shared" si="12"/>
        <v>0.13824</v>
      </c>
      <c r="O61" s="408">
        <f t="shared" si="6"/>
        <v>67.461119999999994</v>
      </c>
      <c r="P61" s="408">
        <f t="shared" si="7"/>
        <v>5.25312E-2</v>
      </c>
      <c r="Q61" s="408">
        <f t="shared" si="8"/>
        <v>25.635225599999998</v>
      </c>
      <c r="R61" s="408">
        <f t="shared" si="9"/>
        <v>5.25312E-2</v>
      </c>
      <c r="S61" s="408">
        <f t="shared" si="10"/>
        <v>25.635225599999998</v>
      </c>
      <c r="T61" s="408">
        <v>2</v>
      </c>
      <c r="U61" s="412">
        <f t="shared" si="13"/>
        <v>118.73157119999999</v>
      </c>
      <c r="V61" s="409">
        <f t="shared" si="11"/>
        <v>9.8942975999999998</v>
      </c>
      <c r="X61" s="159"/>
    </row>
    <row r="62" spans="3:24" ht="12.75" customHeight="1">
      <c r="C62" s="33">
        <f>C61/12</f>
        <v>439268.54010426672</v>
      </c>
      <c r="D62" s="150" t="s">
        <v>348</v>
      </c>
      <c r="E62" s="150" t="s">
        <v>349</v>
      </c>
      <c r="K62" s="407" t="s">
        <v>350</v>
      </c>
      <c r="L62" s="408">
        <v>1</v>
      </c>
      <c r="M62" s="408">
        <v>0.7</v>
      </c>
      <c r="N62" s="408">
        <f>L62*M62</f>
        <v>0.7</v>
      </c>
      <c r="O62" s="408">
        <f t="shared" si="6"/>
        <v>1024.8</v>
      </c>
      <c r="P62" s="408">
        <f t="shared" si="7"/>
        <v>0.26599999999999996</v>
      </c>
      <c r="Q62" s="408">
        <f t="shared" si="8"/>
        <v>389.42399999999992</v>
      </c>
      <c r="R62" s="408">
        <f t="shared" si="9"/>
        <v>0.26599999999999996</v>
      </c>
      <c r="S62" s="408">
        <f t="shared" si="10"/>
        <v>389.42399999999992</v>
      </c>
      <c r="T62" s="408">
        <v>6</v>
      </c>
      <c r="U62" s="412">
        <f t="shared" si="13"/>
        <v>1803.6479999999999</v>
      </c>
      <c r="V62" s="409">
        <f t="shared" si="11"/>
        <v>150.304</v>
      </c>
      <c r="X62" s="159"/>
    </row>
    <row r="63" spans="3:24" ht="12.75" customHeight="1">
      <c r="C63" s="3" t="s">
        <v>351</v>
      </c>
      <c r="D63" s="388">
        <f>C62*E61/F61</f>
        <v>0.995867387673678</v>
      </c>
      <c r="K63" s="407" t="s">
        <v>151</v>
      </c>
      <c r="L63" s="408">
        <v>1</v>
      </c>
      <c r="M63" s="408">
        <v>0.20735999999999999</v>
      </c>
      <c r="N63" s="408">
        <f t="shared" si="12"/>
        <v>0.20735999999999999</v>
      </c>
      <c r="O63" s="408">
        <f t="shared" si="6"/>
        <v>1214.3001599999998</v>
      </c>
      <c r="P63" s="408">
        <f t="shared" si="7"/>
        <v>7.87968E-2</v>
      </c>
      <c r="Q63" s="408">
        <f t="shared" si="8"/>
        <v>461.4340608</v>
      </c>
      <c r="R63" s="408">
        <f t="shared" si="9"/>
        <v>7.87968E-2</v>
      </c>
      <c r="S63" s="408">
        <f t="shared" si="10"/>
        <v>461.4340608</v>
      </c>
      <c r="T63" s="408">
        <v>24</v>
      </c>
      <c r="U63" s="412">
        <f t="shared" si="13"/>
        <v>2137.1682815999998</v>
      </c>
      <c r="V63" s="409">
        <f t="shared" si="11"/>
        <v>178.09735679999997</v>
      </c>
      <c r="X63" s="159"/>
    </row>
    <row r="64" spans="3:24" ht="12.75" customHeight="1">
      <c r="C64" s="3" t="s">
        <v>352</v>
      </c>
      <c r="D64" s="388">
        <f>D61/F61</f>
        <v>4.132612326321985E-3</v>
      </c>
      <c r="K64" s="407" t="s">
        <v>143</v>
      </c>
      <c r="L64" s="408">
        <v>1</v>
      </c>
      <c r="M64" s="408">
        <v>37</v>
      </c>
      <c r="N64" s="408">
        <f>L64*M64</f>
        <v>37</v>
      </c>
      <c r="O64" s="408">
        <f t="shared" si="6"/>
        <v>216672</v>
      </c>
      <c r="P64" s="408">
        <f t="shared" si="7"/>
        <v>14.06</v>
      </c>
      <c r="Q64" s="408">
        <f t="shared" si="8"/>
        <v>82335.360000000001</v>
      </c>
      <c r="R64" s="408">
        <f t="shared" si="9"/>
        <v>14.06</v>
      </c>
      <c r="S64" s="408">
        <f t="shared" si="10"/>
        <v>82335.360000000001</v>
      </c>
      <c r="T64" s="408">
        <v>24</v>
      </c>
      <c r="U64" s="412">
        <f>O64+Q64+S64</f>
        <v>381342.71999999997</v>
      </c>
      <c r="V64" s="409">
        <f t="shared" si="11"/>
        <v>31778.559999999998</v>
      </c>
      <c r="X64" s="159"/>
    </row>
    <row r="65" spans="3:24" ht="12.75" customHeight="1">
      <c r="C65" s="3"/>
      <c r="H65" s="33"/>
      <c r="K65" s="407" t="s">
        <v>353</v>
      </c>
      <c r="L65" s="408">
        <v>1</v>
      </c>
      <c r="M65" s="408">
        <v>0.96</v>
      </c>
      <c r="N65" s="408">
        <f t="shared" si="12"/>
        <v>0.96</v>
      </c>
      <c r="O65" s="408">
        <f t="shared" si="6"/>
        <v>5621.7599999999993</v>
      </c>
      <c r="P65" s="408">
        <f t="shared" si="7"/>
        <v>0.36480000000000001</v>
      </c>
      <c r="Q65" s="408">
        <f t="shared" si="8"/>
        <v>2136.2688000000003</v>
      </c>
      <c r="R65" s="408">
        <f t="shared" si="9"/>
        <v>0.36480000000000001</v>
      </c>
      <c r="S65" s="408">
        <f t="shared" si="10"/>
        <v>2136.2688000000003</v>
      </c>
      <c r="T65" s="408">
        <v>24</v>
      </c>
      <c r="U65" s="412">
        <f t="shared" si="13"/>
        <v>9894.2975999999999</v>
      </c>
      <c r="V65" s="409">
        <f t="shared" si="11"/>
        <v>824.52480000000003</v>
      </c>
      <c r="X65" s="159"/>
    </row>
    <row r="66" spans="3:24" ht="12.75" customHeight="1" thickBot="1">
      <c r="C66" s="3"/>
      <c r="D66" s="159"/>
      <c r="E66" s="159"/>
      <c r="F66" s="159"/>
      <c r="G66" s="159"/>
      <c r="K66" s="410" t="s">
        <v>354</v>
      </c>
      <c r="L66" s="408">
        <v>111</v>
      </c>
      <c r="M66" s="408">
        <v>1.0999999999999999E-2</v>
      </c>
      <c r="N66" s="408">
        <f t="shared" si="12"/>
        <v>1.2209999999999999</v>
      </c>
      <c r="O66" s="408">
        <f t="shared" si="6"/>
        <v>7150.1759999999995</v>
      </c>
      <c r="P66" s="408">
        <f t="shared" si="7"/>
        <v>0.46397999999999995</v>
      </c>
      <c r="Q66" s="408">
        <f t="shared" si="8"/>
        <v>2717.0668799999999</v>
      </c>
      <c r="R66" s="408">
        <f t="shared" si="9"/>
        <v>0.46397999999999995</v>
      </c>
      <c r="S66" s="408">
        <f t="shared" si="10"/>
        <v>2717.0668799999999</v>
      </c>
      <c r="T66" s="408">
        <v>24</v>
      </c>
      <c r="U66" s="412">
        <f t="shared" si="13"/>
        <v>12584.30976</v>
      </c>
      <c r="V66" s="409">
        <f t="shared" si="11"/>
        <v>1048.6924799999999</v>
      </c>
      <c r="X66" s="159"/>
    </row>
    <row r="67" spans="3:24" ht="12.75" customHeight="1">
      <c r="C67" s="164"/>
      <c r="D67" s="389" t="s">
        <v>188</v>
      </c>
      <c r="E67" s="64" t="s">
        <v>355</v>
      </c>
      <c r="F67" s="390" t="s">
        <v>356</v>
      </c>
      <c r="G67" s="389" t="s">
        <v>357</v>
      </c>
      <c r="H67" s="159"/>
      <c r="I67" s="33"/>
      <c r="J67" s="159"/>
      <c r="K67" s="550" t="s">
        <v>177</v>
      </c>
      <c r="L67" s="551">
        <v>1</v>
      </c>
      <c r="M67" s="551">
        <v>1794.666667</v>
      </c>
      <c r="N67" s="551">
        <f t="shared" ref="N67:N72" si="16">L67*M67/30</f>
        <v>59.822222233333335</v>
      </c>
      <c r="O67" s="551">
        <f>N67*$T$49*T67</f>
        <v>350318.93339839997</v>
      </c>
      <c r="P67" s="551">
        <v>0</v>
      </c>
      <c r="Q67" s="551">
        <f t="shared" si="8"/>
        <v>0</v>
      </c>
      <c r="R67" s="551">
        <v>0</v>
      </c>
      <c r="S67" s="551">
        <f t="shared" si="10"/>
        <v>0</v>
      </c>
      <c r="T67" s="551">
        <v>24</v>
      </c>
      <c r="U67" s="552">
        <f>O67+Q67+S67</f>
        <v>350318.93339839997</v>
      </c>
      <c r="V67" s="411">
        <f t="shared" si="11"/>
        <v>29193.244449866663</v>
      </c>
      <c r="X67" s="159"/>
    </row>
    <row r="68" spans="3:24" ht="12.75" customHeight="1">
      <c r="C68" s="4" t="s">
        <v>358</v>
      </c>
      <c r="D68" s="391">
        <f>F61*11.5</f>
        <v>8318983.8013664698</v>
      </c>
      <c r="E68" s="391">
        <f>D68*$D$63</f>
        <v>8284604.66636647</v>
      </c>
      <c r="F68" s="391">
        <f>D68*$D$64</f>
        <v>34379.134999999995</v>
      </c>
      <c r="G68" s="391"/>
      <c r="I68" s="33"/>
      <c r="J68" s="179"/>
      <c r="K68" s="553" t="s">
        <v>180</v>
      </c>
      <c r="L68" s="408">
        <v>1</v>
      </c>
      <c r="M68" s="408">
        <v>3390</v>
      </c>
      <c r="N68" s="408">
        <f t="shared" si="16"/>
        <v>113</v>
      </c>
      <c r="O68" s="408">
        <f>N68*$T$49*T68</f>
        <v>661728</v>
      </c>
      <c r="P68" s="408">
        <v>0</v>
      </c>
      <c r="Q68" s="408">
        <f t="shared" ref="Q68:Q72" si="17">P68*T68*$T$49</f>
        <v>0</v>
      </c>
      <c r="R68" s="408">
        <v>0</v>
      </c>
      <c r="S68" s="408">
        <f t="shared" ref="S68:S72" si="18">R68*T68*$T$49</f>
        <v>0</v>
      </c>
      <c r="T68" s="408">
        <v>24</v>
      </c>
      <c r="U68" s="554">
        <f>O68+Q68+S68</f>
        <v>661728</v>
      </c>
      <c r="V68" s="411">
        <f t="shared" si="11"/>
        <v>55144</v>
      </c>
      <c r="X68" s="159"/>
    </row>
    <row r="69" spans="3:24" ht="12.75" customHeight="1">
      <c r="C69" s="3" t="s">
        <v>359</v>
      </c>
      <c r="D69" s="391">
        <f>D68*0.95</f>
        <v>7903034.6112981457</v>
      </c>
      <c r="E69" s="391">
        <f t="shared" ref="E69:E72" si="19">D69*$D$63</f>
        <v>7870374.4330481458</v>
      </c>
      <c r="F69" s="391">
        <f t="shared" ref="F69:F70" si="20">D69*$D$64</f>
        <v>32660.178249999994</v>
      </c>
      <c r="G69" s="391"/>
      <c r="H69" s="164"/>
      <c r="I69" s="33"/>
      <c r="J69" s="179"/>
      <c r="K69" s="553" t="s">
        <v>181</v>
      </c>
      <c r="L69" s="408">
        <v>1</v>
      </c>
      <c r="M69" s="408">
        <v>61.02</v>
      </c>
      <c r="N69" s="408">
        <f t="shared" si="16"/>
        <v>2.0340000000000003</v>
      </c>
      <c r="O69" s="408">
        <f t="shared" ref="O69:O71" si="21">N69*$T$49*T69</f>
        <v>11911.104000000001</v>
      </c>
      <c r="P69" s="408">
        <v>0</v>
      </c>
      <c r="Q69" s="408">
        <f t="shared" si="17"/>
        <v>0</v>
      </c>
      <c r="R69" s="408">
        <v>0</v>
      </c>
      <c r="S69" s="408">
        <f t="shared" si="18"/>
        <v>0</v>
      </c>
      <c r="T69" s="408">
        <v>24</v>
      </c>
      <c r="U69" s="554">
        <f t="shared" si="13"/>
        <v>11911.104000000001</v>
      </c>
      <c r="V69" s="411">
        <f t="shared" si="11"/>
        <v>992.5920000000001</v>
      </c>
      <c r="X69" s="159"/>
    </row>
    <row r="70" spans="3:24" ht="12.75" customHeight="1">
      <c r="C70" s="3" t="s">
        <v>360</v>
      </c>
      <c r="D70" s="391">
        <f>D68*0.025</f>
        <v>207974.59503416176</v>
      </c>
      <c r="E70" s="391">
        <f t="shared" si="19"/>
        <v>207115.11665916175</v>
      </c>
      <c r="F70" s="391">
        <f t="shared" si="20"/>
        <v>859.47837499999991</v>
      </c>
      <c r="G70" s="391"/>
      <c r="H70" s="4"/>
      <c r="I70" s="33"/>
      <c r="J70" s="179"/>
      <c r="K70" s="553" t="s">
        <v>182</v>
      </c>
      <c r="L70" s="408">
        <v>1</v>
      </c>
      <c r="M70" s="408">
        <f>44748/12</f>
        <v>3729</v>
      </c>
      <c r="N70" s="408">
        <f t="shared" si="16"/>
        <v>124.3</v>
      </c>
      <c r="O70" s="408">
        <f>N70*$T$49*T70/30</f>
        <v>24263.360000000001</v>
      </c>
      <c r="P70" s="408">
        <v>0</v>
      </c>
      <c r="Q70" s="408">
        <f>P70*T70*$T$49</f>
        <v>0</v>
      </c>
      <c r="R70" s="408">
        <v>0</v>
      </c>
      <c r="S70" s="408">
        <f>R70*T70*$T$49</f>
        <v>0</v>
      </c>
      <c r="T70" s="408">
        <v>24</v>
      </c>
      <c r="U70" s="554">
        <f t="shared" si="13"/>
        <v>24263.360000000001</v>
      </c>
      <c r="V70" s="411">
        <f t="shared" si="11"/>
        <v>2021.9466666666667</v>
      </c>
      <c r="X70" s="159"/>
    </row>
    <row r="71" spans="3:24" ht="12.75" customHeight="1">
      <c r="C71" s="3" t="s">
        <v>361</v>
      </c>
      <c r="D71" s="391">
        <f>D68*0.025</f>
        <v>207974.59503416176</v>
      </c>
      <c r="E71" s="391">
        <f>D71*$D$63</f>
        <v>207115.11665916175</v>
      </c>
      <c r="F71" s="391">
        <f>D71*$D$64</f>
        <v>859.47837499999991</v>
      </c>
      <c r="G71" s="391"/>
      <c r="H71" s="4"/>
      <c r="I71" s="53"/>
      <c r="J71" s="179"/>
      <c r="K71" s="553" t="s">
        <v>183</v>
      </c>
      <c r="L71" s="408">
        <v>1</v>
      </c>
      <c r="M71" s="408">
        <v>508.5</v>
      </c>
      <c r="N71" s="408">
        <f t="shared" si="16"/>
        <v>16.95</v>
      </c>
      <c r="O71" s="408">
        <f t="shared" si="21"/>
        <v>99259.200000000012</v>
      </c>
      <c r="P71" s="408">
        <v>0</v>
      </c>
      <c r="Q71" s="408">
        <f t="shared" si="17"/>
        <v>0</v>
      </c>
      <c r="R71" s="408">
        <v>0</v>
      </c>
      <c r="S71" s="408">
        <f>R71*T71*$T$49</f>
        <v>0</v>
      </c>
      <c r="T71" s="408">
        <v>24</v>
      </c>
      <c r="U71" s="554">
        <f>O71+Q71+S71</f>
        <v>99259.200000000012</v>
      </c>
      <c r="V71" s="411">
        <f t="shared" si="11"/>
        <v>8271.6</v>
      </c>
      <c r="X71" s="159"/>
    </row>
    <row r="72" spans="3:24" ht="12.75" customHeight="1" thickBot="1">
      <c r="C72" s="4" t="s">
        <v>362</v>
      </c>
      <c r="D72" s="391">
        <f>D69*M92</f>
        <v>200076.82560248469</v>
      </c>
      <c r="E72" s="391">
        <f t="shared" si="19"/>
        <v>199249.9856467885</v>
      </c>
      <c r="F72" s="391">
        <f>D72*$D$64</f>
        <v>826.83995569620231</v>
      </c>
      <c r="G72" s="391"/>
      <c r="H72" s="4"/>
      <c r="I72" s="53"/>
      <c r="J72" s="179"/>
      <c r="K72" s="555" t="s">
        <v>185</v>
      </c>
      <c r="L72" s="556">
        <v>1</v>
      </c>
      <c r="M72" s="556">
        <v>44.747999999999998</v>
      </c>
      <c r="N72" s="556">
        <f t="shared" si="16"/>
        <v>1.4915999999999998</v>
      </c>
      <c r="O72" s="556">
        <f>N72*$T$49*T72/30</f>
        <v>291.16031999999996</v>
      </c>
      <c r="P72" s="556">
        <v>0</v>
      </c>
      <c r="Q72" s="556">
        <f t="shared" si="17"/>
        <v>0</v>
      </c>
      <c r="R72" s="556">
        <v>0</v>
      </c>
      <c r="S72" s="556">
        <f t="shared" si="18"/>
        <v>0</v>
      </c>
      <c r="T72" s="556">
        <v>24</v>
      </c>
      <c r="U72" s="557">
        <f t="shared" si="13"/>
        <v>291.16031999999996</v>
      </c>
      <c r="V72" s="411">
        <f t="shared" si="11"/>
        <v>24.263359999999995</v>
      </c>
      <c r="X72" s="159"/>
    </row>
    <row r="73" spans="3:24" ht="12.75" customHeight="1" thickBot="1">
      <c r="C73" s="164"/>
      <c r="E73" s="33"/>
      <c r="F73" s="220"/>
      <c r="H73" s="4"/>
      <c r="I73" s="53"/>
      <c r="J73" s="33"/>
      <c r="K73" s="159"/>
      <c r="L73" s="221"/>
      <c r="M73" s="222"/>
      <c r="N73" s="222"/>
      <c r="O73" s="225">
        <f t="shared" ref="O73:S73" si="22">SUM(O54:O65)</f>
        <v>2335719.5532799996</v>
      </c>
      <c r="P73" s="225">
        <f t="shared" si="22"/>
        <v>585.03796799999975</v>
      </c>
      <c r="Q73" s="225">
        <f t="shared" si="22"/>
        <v>887573.43024640006</v>
      </c>
      <c r="R73" s="225">
        <f t="shared" si="22"/>
        <v>585.03796799999975</v>
      </c>
      <c r="S73" s="225">
        <f t="shared" si="22"/>
        <v>887573.43024640006</v>
      </c>
      <c r="T73" s="225"/>
      <c r="U73" s="432">
        <f>+SUM(U54:U72)</f>
        <v>5271222.4812512007</v>
      </c>
      <c r="V73" s="433">
        <f>SUM(V54:V72)</f>
        <v>439268.54010426661</v>
      </c>
      <c r="X73" s="159"/>
    </row>
    <row r="74" spans="3:24" ht="12.75" customHeight="1">
      <c r="C74" s="243"/>
      <c r="E74" s="33"/>
      <c r="F74" s="220"/>
      <c r="H74" s="4"/>
      <c r="I74" s="53"/>
      <c r="J74" s="33"/>
      <c r="K74" s="220"/>
      <c r="X74" s="159"/>
    </row>
    <row r="75" spans="3:24" ht="12.75" customHeight="1">
      <c r="C75" s="54"/>
      <c r="F75" s="4"/>
      <c r="G75" s="4"/>
      <c r="H75" s="4"/>
      <c r="I75" s="4"/>
      <c r="J75" s="4"/>
      <c r="K75" s="33">
        <f>E72/12*3</f>
        <v>49812.496411697124</v>
      </c>
      <c r="X75" s="159"/>
    </row>
    <row r="76" spans="3:24" ht="12.75" customHeight="1">
      <c r="C76" s="977" t="s">
        <v>363</v>
      </c>
      <c r="D76" s="991"/>
      <c r="E76" s="991"/>
      <c r="F76" s="991"/>
      <c r="G76" s="991"/>
      <c r="H76" s="992"/>
      <c r="I76" s="4"/>
      <c r="J76" s="4"/>
      <c r="K76" s="33" t="e">
        <f>#REF!/12*3</f>
        <v>#REF!</v>
      </c>
      <c r="M76" s="217"/>
      <c r="N76" s="218"/>
      <c r="O76" s="218"/>
      <c r="P76" s="218"/>
      <c r="Q76" s="218"/>
      <c r="R76" s="218"/>
      <c r="S76" s="218"/>
      <c r="T76" s="218"/>
      <c r="U76" s="218"/>
      <c r="V76" s="222"/>
      <c r="W76" s="159"/>
    </row>
    <row r="77" spans="3:24" ht="12.75" customHeight="1">
      <c r="C77" s="16"/>
      <c r="E77" s="56"/>
      <c r="F77" s="4"/>
      <c r="G77" s="4"/>
      <c r="H77" s="4"/>
      <c r="I77" s="4"/>
      <c r="J77" s="4"/>
      <c r="L77" s="4" t="s">
        <v>364</v>
      </c>
      <c r="M77" s="219">
        <v>1969134.7334373901</v>
      </c>
      <c r="N77" s="218"/>
      <c r="O77" s="229"/>
      <c r="P77" s="218"/>
      <c r="Q77" s="218"/>
      <c r="R77" s="218"/>
      <c r="S77" s="218"/>
      <c r="T77" s="218"/>
      <c r="U77" s="218"/>
      <c r="V77" s="218"/>
    </row>
    <row r="78" spans="3:24" ht="12.75" customHeight="1">
      <c r="C78" s="16" t="s">
        <v>365</v>
      </c>
      <c r="E78" s="56">
        <v>736</v>
      </c>
      <c r="G78" s="4"/>
      <c r="H78" s="4"/>
      <c r="I78" s="4"/>
      <c r="J78" s="4"/>
      <c r="L78" s="4" t="s">
        <v>366</v>
      </c>
      <c r="M78" s="4">
        <v>440378.56000000006</v>
      </c>
      <c r="O78">
        <f>200000/12</f>
        <v>16666.666666666668</v>
      </c>
    </row>
    <row r="79" spans="3:24" ht="12.75" customHeight="1">
      <c r="C79" s="16"/>
      <c r="E79" s="57" t="s">
        <v>217</v>
      </c>
      <c r="F79" s="4"/>
      <c r="H79" s="4"/>
      <c r="I79" s="4"/>
      <c r="J79" s="55"/>
      <c r="L79" s="4" t="s">
        <v>367</v>
      </c>
      <c r="M79" s="4">
        <v>178238.72</v>
      </c>
    </row>
    <row r="80" spans="3:24" ht="12.75" customHeight="1">
      <c r="C80" s="58" t="s">
        <v>368</v>
      </c>
      <c r="D80" s="59"/>
      <c r="E80" s="5">
        <v>80</v>
      </c>
      <c r="F80" s="4"/>
      <c r="G80" s="4"/>
      <c r="H80" s="4"/>
      <c r="I80" s="4"/>
      <c r="J80" s="4"/>
    </row>
    <row r="81" spans="2:22" ht="12.75" customHeight="1">
      <c r="C81" s="16" t="s">
        <v>369</v>
      </c>
      <c r="F81" s="3" t="s">
        <v>370</v>
      </c>
      <c r="G81" s="4" t="s">
        <v>371</v>
      </c>
      <c r="H81" s="3" t="s">
        <v>372</v>
      </c>
      <c r="I81" s="4" t="s">
        <v>373</v>
      </c>
      <c r="J81" s="4" t="s">
        <v>374</v>
      </c>
      <c r="L81" s="951" t="s">
        <v>13</v>
      </c>
      <c r="M81" s="996"/>
      <c r="N81" s="996"/>
      <c r="O81" s="996"/>
      <c r="P81" s="997"/>
      <c r="S81" s="163" t="s">
        <v>375</v>
      </c>
      <c r="T81" s="217">
        <f>SUM(U67:U72)</f>
        <v>1147771.7577184001</v>
      </c>
      <c r="V81" s="159"/>
    </row>
    <row r="82" spans="2:22" ht="12.75" customHeight="1">
      <c r="C82" s="16" t="s">
        <v>376</v>
      </c>
      <c r="D82" s="392" t="s">
        <v>377</v>
      </c>
      <c r="E82" s="16" t="s">
        <v>378</v>
      </c>
      <c r="F82" s="4">
        <f>'E-Inv AF y Am'!B21*0.01</f>
        <v>1783735.4863125</v>
      </c>
      <c r="G82" s="4">
        <f>'E-Inv AF y Am'!$B$21*0.01</f>
        <v>1783735.4863125</v>
      </c>
      <c r="H82" s="4">
        <f>'E-Inv AF y Am'!$B$21*0.01</f>
        <v>1783735.4863125</v>
      </c>
      <c r="I82" s="4">
        <f>'E-Inv AF y Am'!$B$21*0.01</f>
        <v>1783735.4863125</v>
      </c>
      <c r="J82" s="55">
        <f>'E-Inv AF y Am'!$B$21*'CA COSTOS'!D82</f>
        <v>1783735.4863125</v>
      </c>
      <c r="L82" s="266"/>
      <c r="M82" s="267" t="s">
        <v>14</v>
      </c>
      <c r="N82" s="267" t="s">
        <v>15</v>
      </c>
      <c r="O82" s="267" t="s">
        <v>16</v>
      </c>
      <c r="P82" s="268" t="s">
        <v>17</v>
      </c>
      <c r="S82" s="163" t="s">
        <v>379</v>
      </c>
      <c r="T82" s="217">
        <f>SUM(U54:U66)</f>
        <v>4123450.7235328001</v>
      </c>
    </row>
    <row r="83" spans="2:22" ht="12.75" customHeight="1">
      <c r="C83" s="16" t="s">
        <v>380</v>
      </c>
      <c r="D83" s="392" t="s">
        <v>381</v>
      </c>
      <c r="E83" s="16" t="s">
        <v>378</v>
      </c>
      <c r="F83" s="393">
        <f>'E-Inv AF y Am'!$B$21*0.016</f>
        <v>2853976.7780999998</v>
      </c>
      <c r="G83" s="4">
        <f>'E-Inv AF y Am'!$B$21*0.016</f>
        <v>2853976.7780999998</v>
      </c>
      <c r="H83" s="4">
        <f>'E-Inv AF y Am'!$B$21*0.016</f>
        <v>2853976.7780999998</v>
      </c>
      <c r="I83" s="4">
        <f>'E-Inv AF y Am'!$B$21*0.016</f>
        <v>2853976.7780999998</v>
      </c>
      <c r="J83" s="55">
        <f>'E-Inv AF y Am'!$B$21*'CA COSTOS'!D83</f>
        <v>2853976.7780999998</v>
      </c>
      <c r="L83" s="258" t="s">
        <v>382</v>
      </c>
      <c r="M83" s="413">
        <v>0</v>
      </c>
      <c r="N83" s="414">
        <v>1598</v>
      </c>
      <c r="O83" s="280">
        <v>1890</v>
      </c>
      <c r="P83" s="281" t="s">
        <v>383</v>
      </c>
      <c r="S83" s="163" t="s">
        <v>384</v>
      </c>
      <c r="T83" s="217">
        <f>SUM(T81:T82)</f>
        <v>5271222.4812512007</v>
      </c>
      <c r="V83" s="159"/>
    </row>
    <row r="84" spans="2:22" ht="12.75" customHeight="1">
      <c r="C84" s="16" t="s">
        <v>25</v>
      </c>
      <c r="D84" s="392" t="s">
        <v>385</v>
      </c>
      <c r="E84" s="16" t="s">
        <v>386</v>
      </c>
      <c r="F84" s="197">
        <f>I9*0.015</f>
        <v>18076320</v>
      </c>
      <c r="G84" s="4">
        <f>$J$9*0.015</f>
        <v>16820622</v>
      </c>
      <c r="H84" s="4">
        <f>$J$9*D84</f>
        <v>16820622</v>
      </c>
      <c r="I84" s="4">
        <f>$J$9*0.015</f>
        <v>16820622</v>
      </c>
      <c r="J84" s="394">
        <f>J9*0.015</f>
        <v>16820622</v>
      </c>
      <c r="L84" s="428" t="s">
        <v>387</v>
      </c>
      <c r="M84" s="413">
        <v>0</v>
      </c>
      <c r="N84" s="279">
        <v>37.058824000000001</v>
      </c>
      <c r="O84" s="283">
        <v>37.058823500000003</v>
      </c>
      <c r="P84" s="281" t="s">
        <v>383</v>
      </c>
      <c r="S84" s="227"/>
      <c r="V84" s="159"/>
    </row>
    <row r="85" spans="2:22" ht="12.75" customHeight="1">
      <c r="C85" s="16" t="s">
        <v>267</v>
      </c>
      <c r="D85" s="392" t="s">
        <v>388</v>
      </c>
      <c r="E85" s="16" t="s">
        <v>389</v>
      </c>
      <c r="F85" s="197">
        <f>$G$29*0.03</f>
        <v>214858.7298</v>
      </c>
      <c r="G85" s="4">
        <f t="shared" ref="G85:I85" si="23">$G$29*0.03</f>
        <v>214858.7298</v>
      </c>
      <c r="H85" s="4">
        <f t="shared" si="23"/>
        <v>214858.7298</v>
      </c>
      <c r="I85" s="4">
        <f t="shared" si="23"/>
        <v>214858.7298</v>
      </c>
      <c r="J85" s="395">
        <f>$G$29*D85</f>
        <v>214858.7298</v>
      </c>
      <c r="L85" s="429" t="s">
        <v>390</v>
      </c>
      <c r="M85" s="413">
        <v>0</v>
      </c>
      <c r="N85" s="279">
        <v>1617</v>
      </c>
      <c r="O85" s="284">
        <v>1890</v>
      </c>
      <c r="P85" s="281" t="s">
        <v>383</v>
      </c>
      <c r="S85" s="163" t="s">
        <v>318</v>
      </c>
      <c r="T85" s="226">
        <f>T81/T83</f>
        <v>0.2177429925981724</v>
      </c>
      <c r="V85" s="159"/>
    </row>
    <row r="86" spans="2:22" ht="12.75" customHeight="1">
      <c r="E86" s="396" t="s">
        <v>224</v>
      </c>
      <c r="F86" s="397">
        <f>SUM(F82:F85)</f>
        <v>22928890.994212501</v>
      </c>
      <c r="G86" s="397">
        <f>SUM(G82:G85)</f>
        <v>21673192.994212501</v>
      </c>
      <c r="H86" s="397">
        <f t="shared" ref="H86:I86" si="24">SUM(H82:H85)</f>
        <v>21673192.994212501</v>
      </c>
      <c r="I86" s="397">
        <f t="shared" si="24"/>
        <v>21673192.994212501</v>
      </c>
      <c r="J86" s="398">
        <f>SUM(J82:J85)</f>
        <v>21673192.994212501</v>
      </c>
      <c r="K86" t="s">
        <v>391</v>
      </c>
      <c r="L86" s="429" t="s">
        <v>392</v>
      </c>
      <c r="M86" s="413">
        <v>0</v>
      </c>
      <c r="N86" s="279">
        <v>0</v>
      </c>
      <c r="O86" s="283">
        <v>0</v>
      </c>
      <c r="P86" s="281" t="s">
        <v>383</v>
      </c>
      <c r="S86" s="163" t="s">
        <v>319</v>
      </c>
      <c r="T86" s="226">
        <f>T82/T83</f>
        <v>0.78225700740182746</v>
      </c>
      <c r="U86" s="226"/>
      <c r="V86" s="159"/>
    </row>
    <row r="87" spans="2:22" ht="12.75" customHeight="1">
      <c r="D87" s="399" t="s">
        <v>393</v>
      </c>
      <c r="E87" s="400">
        <v>0.9</v>
      </c>
      <c r="F87" s="4">
        <f>F$86*E87</f>
        <v>20636001.894791253</v>
      </c>
      <c r="G87" s="4">
        <f t="shared" ref="G87:G89" si="25">$G$86*E87</f>
        <v>19505873.69479125</v>
      </c>
      <c r="H87" s="4">
        <f t="shared" ref="H87" si="26">H86*E87</f>
        <v>19505873.69479125</v>
      </c>
      <c r="I87" s="4">
        <f t="shared" ref="I87:I89" si="27">$I$86*E87</f>
        <v>19505873.69479125</v>
      </c>
      <c r="J87" s="4">
        <f>J86*E87</f>
        <v>19505873.69479125</v>
      </c>
      <c r="K87" s="401">
        <f>J87/12</f>
        <v>1625489.4745659374</v>
      </c>
      <c r="L87" s="429" t="s">
        <v>31</v>
      </c>
      <c r="M87" s="413">
        <v>0</v>
      </c>
      <c r="N87" s="279">
        <v>42</v>
      </c>
      <c r="O87" s="283">
        <v>42</v>
      </c>
      <c r="P87" s="281" t="s">
        <v>383</v>
      </c>
      <c r="S87" s="163"/>
      <c r="V87" s="159"/>
    </row>
    <row r="88" spans="2:22" ht="12.75" customHeight="1">
      <c r="D88" s="402" t="s">
        <v>394</v>
      </c>
      <c r="E88" s="403">
        <v>0.05</v>
      </c>
      <c r="F88" s="4">
        <f t="shared" ref="F88:F89" si="28">$F$86*E88</f>
        <v>1146444.5497106251</v>
      </c>
      <c r="G88" s="4">
        <f t="shared" si="25"/>
        <v>1083659.6497106252</v>
      </c>
      <c r="H88" s="4">
        <f>H86*E88</f>
        <v>1083659.6497106252</v>
      </c>
      <c r="I88" s="4">
        <f t="shared" si="27"/>
        <v>1083659.6497106252</v>
      </c>
      <c r="J88" s="4">
        <f>J86*E88</f>
        <v>1083659.6497106252</v>
      </c>
      <c r="K88" s="401">
        <f>J88/12</f>
        <v>90304.970809218765</v>
      </c>
      <c r="L88" s="429" t="s">
        <v>395</v>
      </c>
      <c r="M88" s="413">
        <v>0</v>
      </c>
      <c r="N88" s="278">
        <v>1659</v>
      </c>
      <c r="O88" s="278">
        <v>1890</v>
      </c>
      <c r="P88" s="281" t="s">
        <v>383</v>
      </c>
      <c r="S88" s="163" t="s">
        <v>396</v>
      </c>
      <c r="V88" s="159"/>
    </row>
    <row r="89" spans="2:22" ht="12.75" customHeight="1">
      <c r="D89" s="402" t="s">
        <v>397</v>
      </c>
      <c r="E89" s="403">
        <v>0.05</v>
      </c>
      <c r="F89" s="4">
        <f t="shared" si="28"/>
        <v>1146444.5497106251</v>
      </c>
      <c r="G89" s="4">
        <f t="shared" si="25"/>
        <v>1083659.6497106252</v>
      </c>
      <c r="H89" s="4">
        <f>H86*E89</f>
        <v>1083659.6497106252</v>
      </c>
      <c r="I89" s="4">
        <f t="shared" si="27"/>
        <v>1083659.6497106252</v>
      </c>
      <c r="J89" s="4">
        <f>J86*E89</f>
        <v>1083659.6497106252</v>
      </c>
      <c r="K89" s="401">
        <f>J89/12</f>
        <v>90304.970809218765</v>
      </c>
      <c r="L89" s="429" t="s">
        <v>398</v>
      </c>
      <c r="M89" s="413">
        <v>0</v>
      </c>
      <c r="N89" s="278">
        <v>165</v>
      </c>
      <c r="O89" s="278">
        <v>165</v>
      </c>
      <c r="P89" s="281" t="s">
        <v>383</v>
      </c>
      <c r="Q89" s="416"/>
      <c r="S89" s="163" t="s">
        <v>399</v>
      </c>
      <c r="V89" s="159"/>
    </row>
    <row r="90" spans="2:22" ht="12.75" customHeight="1">
      <c r="J90" t="s">
        <v>224</v>
      </c>
      <c r="K90" s="401">
        <f>SUM(K87:K89)</f>
        <v>1806099.4161843748</v>
      </c>
      <c r="L90" s="430" t="s">
        <v>400</v>
      </c>
      <c r="M90" s="415">
        <v>1616.5531900000001</v>
      </c>
      <c r="N90" s="278">
        <v>208</v>
      </c>
      <c r="O90" s="278">
        <v>1682</v>
      </c>
      <c r="P90" s="281" t="s">
        <v>383</v>
      </c>
      <c r="V90" s="159"/>
    </row>
    <row r="91" spans="2:22" ht="12.75" customHeight="1">
      <c r="D91" s="198"/>
      <c r="O91" s="196"/>
      <c r="V91" s="159"/>
    </row>
    <row r="92" spans="2:22" ht="12.75" customHeight="1">
      <c r="F92" s="214"/>
      <c r="J92" s="197"/>
      <c r="L92" s="431" t="s">
        <v>43</v>
      </c>
      <c r="M92" s="14">
        <f>N87/N88</f>
        <v>2.5316455696202531E-2</v>
      </c>
      <c r="V92" s="159"/>
    </row>
    <row r="93" spans="2:22" ht="12.75" customHeight="1">
      <c r="C93" s="159"/>
      <c r="D93" s="159"/>
      <c r="E93" s="159"/>
      <c r="F93" s="159"/>
      <c r="G93" s="159"/>
      <c r="H93" s="159"/>
      <c r="V93" s="159"/>
    </row>
    <row r="94" spans="2:22" ht="12.75" customHeight="1">
      <c r="B94" s="159"/>
      <c r="C94" s="948" t="s">
        <v>401</v>
      </c>
      <c r="D94" s="949"/>
      <c r="E94" s="949"/>
      <c r="F94" s="949"/>
      <c r="G94" s="949"/>
      <c r="H94" s="950"/>
      <c r="I94" s="159"/>
      <c r="V94" s="159"/>
    </row>
    <row r="95" spans="2:22" ht="12.75" customHeight="1">
      <c r="C95" s="422" t="s">
        <v>402</v>
      </c>
      <c r="D95" s="423" t="s">
        <v>122</v>
      </c>
      <c r="E95" s="159"/>
      <c r="F95" s="159"/>
      <c r="G95" s="159"/>
      <c r="H95" s="159"/>
      <c r="J95" s="199">
        <f>J10*0.015</f>
        <v>0</v>
      </c>
      <c r="M95" s="267" t="s">
        <v>15</v>
      </c>
      <c r="N95" s="267" t="s">
        <v>3</v>
      </c>
      <c r="O95" s="267" t="s">
        <v>4</v>
      </c>
      <c r="P95" s="267" t="s">
        <v>5</v>
      </c>
      <c r="Q95" s="267" t="s">
        <v>6</v>
      </c>
      <c r="V95" s="159"/>
    </row>
    <row r="96" spans="2:22" ht="12.75" customHeight="1">
      <c r="C96" s="60">
        <v>8600</v>
      </c>
      <c r="D96" s="160" t="s">
        <v>403</v>
      </c>
      <c r="L96" s="428" t="s">
        <v>387</v>
      </c>
      <c r="M96" s="61">
        <v>1724.22</v>
      </c>
      <c r="N96" s="61">
        <v>1724.22</v>
      </c>
      <c r="O96" s="61">
        <v>1724.22</v>
      </c>
      <c r="P96" s="61">
        <v>1724.22</v>
      </c>
      <c r="Q96" s="61">
        <v>1724.22</v>
      </c>
      <c r="V96" s="159"/>
    </row>
    <row r="97" spans="2:32" ht="12.75" customHeight="1">
      <c r="C97" s="159"/>
      <c r="D97" s="159"/>
      <c r="E97" s="159"/>
      <c r="F97" s="159"/>
      <c r="G97" s="159"/>
      <c r="H97" s="159"/>
      <c r="L97" s="16" t="s">
        <v>404</v>
      </c>
      <c r="M97" s="62">
        <f>M96*'E-Costos'!C128</f>
        <v>1388447.4194900237</v>
      </c>
      <c r="N97" s="62">
        <f>$N$96*'E-Costos'!$D$128</f>
        <v>1173216.7239891114</v>
      </c>
      <c r="O97" s="62">
        <f>O96*'E-Costos'!E128</f>
        <v>1172202.1916464088</v>
      </c>
      <c r="P97" s="62">
        <f>$P$96*'E-Costos'!$F$128</f>
        <v>1172202.1916464088</v>
      </c>
      <c r="Q97" s="62">
        <f>$P$96*'E-Costos'!$F$128</f>
        <v>1172202.1916464088</v>
      </c>
    </row>
    <row r="98" spans="2:32" ht="12.75" customHeight="1">
      <c r="B98" s="159"/>
      <c r="C98" s="948" t="s">
        <v>405</v>
      </c>
      <c r="D98" s="949"/>
      <c r="E98" s="949"/>
      <c r="F98" s="949"/>
      <c r="G98" s="949"/>
      <c r="H98" s="950"/>
      <c r="I98" s="159"/>
      <c r="L98" s="16" t="s">
        <v>406</v>
      </c>
      <c r="M98" s="62"/>
      <c r="N98" s="62">
        <f>M97</f>
        <v>1388447.4194900237</v>
      </c>
      <c r="O98" s="62">
        <f t="shared" ref="O98:Q98" si="29">N97</f>
        <v>1173216.7239891114</v>
      </c>
      <c r="P98" s="62">
        <f t="shared" si="29"/>
        <v>1172202.1916464088</v>
      </c>
      <c r="Q98" s="62">
        <f t="shared" si="29"/>
        <v>1172202.1916464088</v>
      </c>
    </row>
    <row r="99" spans="2:32" ht="12.75" customHeight="1">
      <c r="C99" s="423" t="s">
        <v>188</v>
      </c>
      <c r="D99" s="423" t="s">
        <v>337</v>
      </c>
      <c r="E99" s="424" t="s">
        <v>122</v>
      </c>
      <c r="F99" s="159"/>
      <c r="G99" s="159"/>
      <c r="H99" s="159"/>
      <c r="L99" s="16" t="s">
        <v>407</v>
      </c>
      <c r="M99" s="62">
        <f>M97-M98</f>
        <v>1388447.4194900237</v>
      </c>
      <c r="N99" s="62">
        <f t="shared" ref="N99:Q99" si="30">N97-N98</f>
        <v>-215230.69550091238</v>
      </c>
      <c r="O99" s="62">
        <f t="shared" si="30"/>
        <v>-1014.532342702616</v>
      </c>
      <c r="P99" s="62">
        <f t="shared" si="30"/>
        <v>0</v>
      </c>
      <c r="Q99" s="62">
        <f t="shared" si="30"/>
        <v>0</v>
      </c>
    </row>
    <row r="100" spans="2:32" ht="12.75" customHeight="1">
      <c r="C100" s="4">
        <f>H105</f>
        <v>204435</v>
      </c>
      <c r="D100" s="4">
        <f>C100*12</f>
        <v>2453220</v>
      </c>
      <c r="E100" s="161"/>
    </row>
    <row r="101" spans="2:32" ht="12.75" customHeight="1">
      <c r="C101" s="4"/>
      <c r="D101" s="4"/>
      <c r="E101" s="3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2:32" ht="12.75" customHeight="1"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2:32" ht="12.75" customHeight="1">
      <c r="C103" s="16" t="s">
        <v>408</v>
      </c>
      <c r="D103" s="235">
        <v>8.0000000000000002E-3</v>
      </c>
      <c r="E103" s="16" t="s">
        <v>409</v>
      </c>
      <c r="F103" s="30">
        <v>0.1</v>
      </c>
      <c r="G103" s="16" t="s">
        <v>410</v>
      </c>
      <c r="H103" s="16">
        <f>D103*E105*F103</f>
        <v>90860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2:32" ht="12.75" customHeight="1">
      <c r="C104" s="16" t="s">
        <v>411</v>
      </c>
      <c r="D104" s="30">
        <v>0.01</v>
      </c>
      <c r="E104" s="16" t="s">
        <v>200</v>
      </c>
      <c r="F104" s="30">
        <v>0.1</v>
      </c>
      <c r="G104" s="16"/>
      <c r="H104" s="16">
        <f>D104*E105*F104</f>
        <v>113575</v>
      </c>
      <c r="I104" s="16"/>
      <c r="J104" s="38">
        <f>E105*D103</f>
        <v>908600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2:32" ht="12.75" customHeight="1">
      <c r="C105" s="16" t="s">
        <v>412</v>
      </c>
      <c r="D105" s="16"/>
      <c r="E105" s="38">
        <v>113575000</v>
      </c>
      <c r="F105" s="16"/>
      <c r="G105" s="16" t="s">
        <v>188</v>
      </c>
      <c r="H105" s="16">
        <f>SUM(H103:H104)</f>
        <v>204435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2:32" ht="12.75" customHeight="1">
      <c r="C106" s="159"/>
      <c r="D106" s="159"/>
      <c r="E106" s="159"/>
      <c r="F106" s="159"/>
      <c r="G106" s="159"/>
      <c r="H106" s="159"/>
      <c r="I106" s="16"/>
      <c r="J106" s="16"/>
      <c r="K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2:32" ht="12.75" customHeight="1">
      <c r="B107" s="159"/>
      <c r="C107" s="948" t="s">
        <v>413</v>
      </c>
      <c r="D107" s="949"/>
      <c r="E107" s="949"/>
      <c r="F107" s="949"/>
      <c r="G107" s="949"/>
      <c r="H107" s="950"/>
      <c r="I107" s="163"/>
      <c r="J107" s="16"/>
      <c r="K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2:32" ht="12.75" customHeight="1">
      <c r="C108" s="423" t="s">
        <v>336</v>
      </c>
      <c r="D108" s="423" t="s">
        <v>337</v>
      </c>
      <c r="E108" s="424" t="s">
        <v>122</v>
      </c>
      <c r="F108" s="180"/>
      <c r="G108" s="180"/>
      <c r="H108" s="180"/>
    </row>
    <row r="109" spans="2:32" ht="12.75" customHeight="1">
      <c r="C109" s="182">
        <f>'CA Inv AF y Am'!D64</f>
        <v>1022210</v>
      </c>
      <c r="D109" s="244">
        <f>C109</f>
        <v>1022210</v>
      </c>
      <c r="E109" s="162" t="s">
        <v>414</v>
      </c>
      <c r="F109" s="3"/>
      <c r="G109" s="3"/>
      <c r="H109" s="3"/>
    </row>
    <row r="110" spans="2:32" ht="12.75" customHeight="1"/>
    <row r="111" spans="2:32" ht="12.75" customHeight="1"/>
    <row r="112" spans="2:32" ht="12.75" customHeight="1"/>
    <row r="113" spans="3:5" ht="12.75" customHeight="1"/>
    <row r="114" spans="3:5" ht="12.75" customHeight="1"/>
    <row r="115" spans="3:5" ht="12.75" customHeight="1"/>
    <row r="116" spans="3:5" ht="12.75" customHeight="1"/>
    <row r="117" spans="3:5" ht="12.75" customHeight="1"/>
    <row r="118" spans="3:5" ht="12.75" customHeight="1"/>
    <row r="119" spans="3:5" ht="12.75" customHeight="1"/>
    <row r="120" spans="3:5" ht="12.75" customHeight="1"/>
    <row r="121" spans="3:5" ht="12.75" customHeight="1"/>
    <row r="122" spans="3:5" ht="12.75" customHeight="1"/>
    <row r="123" spans="3:5" ht="12.75" customHeight="1"/>
    <row r="124" spans="3:5" ht="12.75" customHeight="1">
      <c r="C124" s="36" t="s">
        <v>415</v>
      </c>
      <c r="D124" s="4" t="s">
        <v>416</v>
      </c>
    </row>
    <row r="125" spans="3:5" ht="12.75" customHeight="1">
      <c r="C125" s="238" t="s">
        <v>417</v>
      </c>
      <c r="D125" s="208">
        <f>209100</f>
        <v>209100</v>
      </c>
      <c r="E125" s="177" t="s">
        <v>418</v>
      </c>
    </row>
    <row r="126" spans="3:5" ht="12.75" customHeight="1">
      <c r="C126" s="4" t="s">
        <v>364</v>
      </c>
      <c r="D126" s="175">
        <f>'InfoInicial-CálcAux'!L17</f>
        <v>1659000</v>
      </c>
      <c r="E126" s="16" t="s">
        <v>20</v>
      </c>
    </row>
    <row r="127" spans="3:5" ht="12.75" customHeight="1">
      <c r="C127" s="4" t="s">
        <v>366</v>
      </c>
      <c r="D127" s="208">
        <v>42300</v>
      </c>
      <c r="E127" s="151" t="s">
        <v>20</v>
      </c>
    </row>
    <row r="128" spans="3:5" ht="12.75" customHeight="1">
      <c r="C128" s="4" t="s">
        <v>367</v>
      </c>
      <c r="D128" s="208">
        <f>'InfoInicial-CálcAux'!M17</f>
        <v>1890000</v>
      </c>
      <c r="E128" s="16" t="s">
        <v>20</v>
      </c>
    </row>
    <row r="129" spans="3:7" ht="12.75" customHeight="1">
      <c r="C129" s="164" t="s">
        <v>419</v>
      </c>
      <c r="D129" s="177">
        <f>'CA Inv AT'!B2</f>
        <v>234</v>
      </c>
      <c r="E129" s="163" t="s">
        <v>234</v>
      </c>
    </row>
    <row r="130" spans="3:7" ht="12.75" customHeight="1">
      <c r="D130" s="159"/>
    </row>
    <row r="131" spans="3:7" ht="12.75" customHeight="1">
      <c r="C131" s="65" t="s">
        <v>420</v>
      </c>
      <c r="D131" s="211">
        <f>D126*D129</f>
        <v>388206000</v>
      </c>
    </row>
    <row r="132" spans="3:7" ht="12.75" customHeight="1">
      <c r="C132" s="210" t="s">
        <v>421</v>
      </c>
      <c r="D132" s="211">
        <f>D127*D129</f>
        <v>9898200</v>
      </c>
      <c r="E132" s="159"/>
    </row>
    <row r="133" spans="3:7" ht="12.75" customHeight="1">
      <c r="C133" s="65" t="s">
        <v>422</v>
      </c>
      <c r="D133" s="211">
        <f>D128*D129</f>
        <v>442260000</v>
      </c>
    </row>
    <row r="134" spans="3:7" ht="12.75" customHeight="1"/>
    <row r="135" spans="3:7" ht="12.75" customHeight="1"/>
    <row r="136" spans="3:7" ht="12.75" customHeight="1">
      <c r="C136" s="66" t="s">
        <v>423</v>
      </c>
    </row>
    <row r="137" spans="3:7" ht="12.75" customHeight="1">
      <c r="C137" s="4" t="s">
        <v>424</v>
      </c>
      <c r="D137" s="201">
        <f>D140/'InfoInicial-CálcAux'!M14</f>
        <v>7.3763788359788363E-2</v>
      </c>
      <c r="F137" s="67" t="s">
        <v>2</v>
      </c>
    </row>
    <row r="138" spans="3:7" ht="12.75" customHeight="1">
      <c r="C138" s="4" t="s">
        <v>425</v>
      </c>
      <c r="D138" s="202">
        <f>E28</f>
        <v>139413.56</v>
      </c>
      <c r="F138" s="16" t="s">
        <v>426</v>
      </c>
      <c r="G138" s="202">
        <f>D140</f>
        <v>139413.56</v>
      </c>
    </row>
    <row r="139" spans="3:7" ht="12.75" customHeight="1">
      <c r="C139" s="65" t="s">
        <v>427</v>
      </c>
      <c r="D139" s="202">
        <f>D138</f>
        <v>139413.56</v>
      </c>
      <c r="F139" s="16" t="s">
        <v>428</v>
      </c>
      <c r="G139" s="201">
        <f>'InfoInicial-CálcAux'!L14*D137</f>
        <v>119276.04577777778</v>
      </c>
    </row>
    <row r="140" spans="3:7" ht="12.75" customHeight="1">
      <c r="C140" s="65" t="s">
        <v>429</v>
      </c>
      <c r="D140" s="202">
        <f>D139</f>
        <v>139413.56</v>
      </c>
      <c r="E140" s="4" t="s">
        <v>223</v>
      </c>
      <c r="F140" s="16" t="s">
        <v>430</v>
      </c>
      <c r="G140" s="201">
        <f>'InfoInicial-CálcAux'!L13*D137/3</f>
        <v>911.19975013288195</v>
      </c>
    </row>
    <row r="141" spans="3:7" ht="12.75" customHeight="1">
      <c r="C141" s="65" t="s">
        <v>431</v>
      </c>
      <c r="D141" s="203">
        <f>D137*'InfoInicial-CálcAux'!L16</f>
        <v>3098.0791111111112</v>
      </c>
      <c r="E141" s="4">
        <f>D140/D140</f>
        <v>1</v>
      </c>
      <c r="F141" s="40" t="s">
        <v>432</v>
      </c>
      <c r="G141" s="201">
        <f>G138-G139-G140</f>
        <v>19226.31447208934</v>
      </c>
    </row>
    <row r="142" spans="3:7" ht="12.75" customHeight="1"/>
    <row r="143" spans="3:7" ht="12.75" customHeight="1">
      <c r="C143" s="66"/>
    </row>
    <row r="144" spans="3:7" ht="12.75" customHeight="1">
      <c r="C144" s="4"/>
      <c r="G144" s="4"/>
    </row>
    <row r="145" spans="3:7" ht="12.75" customHeight="1">
      <c r="C145" s="66" t="s">
        <v>433</v>
      </c>
      <c r="D145" s="164" t="s">
        <v>434</v>
      </c>
      <c r="E145" s="68" t="s">
        <v>435</v>
      </c>
      <c r="F145" s="4" t="s">
        <v>436</v>
      </c>
      <c r="G145" s="4"/>
    </row>
    <row r="146" spans="3:7" ht="12.75" customHeight="1">
      <c r="C146" s="164" t="s">
        <v>437</v>
      </c>
      <c r="D146" s="212">
        <f>I25-G28</f>
        <v>538974.14999999991</v>
      </c>
      <c r="E146" s="212">
        <f>D146/'InfoInicial-CálcAux'!L14</f>
        <v>0.33331734693877546</v>
      </c>
      <c r="F146" s="213">
        <f>E146*'InfoInicial-CálcAux'!L16</f>
        <v>13999.328571428568</v>
      </c>
      <c r="G146" s="4"/>
    </row>
    <row r="147" spans="3:7" ht="12.75" customHeight="1">
      <c r="C147" s="164" t="s">
        <v>438</v>
      </c>
      <c r="D147" s="212">
        <f>D146</f>
        <v>538974.14999999991</v>
      </c>
      <c r="E147" s="212">
        <f>D147/'InfoInicial-CálcAux'!M14</f>
        <v>0.28517150793650786</v>
      </c>
      <c r="F147" s="213">
        <f>E147*'InfoInicial-CálcAux'!M16</f>
        <v>11977.203333333331</v>
      </c>
      <c r="G147" s="4"/>
    </row>
    <row r="148" spans="3:7" ht="12.75" customHeight="1">
      <c r="D148" s="164"/>
      <c r="E148" s="4"/>
      <c r="F148" s="4"/>
      <c r="G148" s="4"/>
    </row>
    <row r="149" spans="3:7" ht="12.75" customHeight="1">
      <c r="C149" s="66" t="s">
        <v>439</v>
      </c>
      <c r="D149" s="4" t="s">
        <v>434</v>
      </c>
      <c r="E149" s="68" t="s">
        <v>435</v>
      </c>
      <c r="F149" s="4" t="s">
        <v>436</v>
      </c>
    </row>
    <row r="150" spans="3:7" ht="12.75" customHeight="1">
      <c r="C150" s="4" t="s">
        <v>437</v>
      </c>
      <c r="D150" s="215">
        <f>F87</f>
        <v>20636001.894791253</v>
      </c>
      <c r="E150" s="215">
        <f>D150/'InfoInicial-CálcAux'!L14</f>
        <v>12.761905933698982</v>
      </c>
      <c r="F150" s="215">
        <f>E150*'InfoInicial-CálcAux'!L16</f>
        <v>536000.04921535728</v>
      </c>
    </row>
    <row r="151" spans="3:7" ht="12.75" customHeight="1">
      <c r="C151" s="4" t="s">
        <v>438</v>
      </c>
      <c r="D151" s="215">
        <f>G87</f>
        <v>19505873.69479125</v>
      </c>
      <c r="E151" s="215">
        <f>D151/'InfoInicial-CálcAux'!M14</f>
        <v>10.320568092482143</v>
      </c>
      <c r="F151" s="215">
        <f>E151*'InfoInicial-CálcAux'!M16</f>
        <v>433463.85988424998</v>
      </c>
    </row>
    <row r="152" spans="3:7" ht="12.75" customHeight="1"/>
    <row r="153" spans="3:7" ht="12.75" customHeight="1">
      <c r="C153" s="40" t="s">
        <v>432</v>
      </c>
      <c r="D153" s="215">
        <f>F86-(D154*E150)-('InfoInicial-CálcAux'!L13*'CA COSTOS'!E151/3)</f>
        <v>2165399.7272481439</v>
      </c>
    </row>
    <row r="154" spans="3:7" ht="12.75" customHeight="1">
      <c r="C154" s="16" t="s">
        <v>440</v>
      </c>
      <c r="D154" s="216">
        <f>'InfoInicial-CálcAux'!L14</f>
        <v>1617000</v>
      </c>
    </row>
    <row r="155" spans="3:7" ht="12.75" customHeight="1">
      <c r="C155" s="16" t="s">
        <v>441</v>
      </c>
      <c r="D155" s="216">
        <f>'InfoInicial-CálcAux'!M16</f>
        <v>42000</v>
      </c>
    </row>
    <row r="156" spans="3:7" ht="12.75" customHeight="1"/>
    <row r="157" spans="3:7" ht="12.75" customHeight="1">
      <c r="C157" s="66" t="s">
        <v>442</v>
      </c>
      <c r="D157" s="4" t="s">
        <v>434</v>
      </c>
      <c r="E157" s="68" t="s">
        <v>435</v>
      </c>
      <c r="F157" s="4" t="s">
        <v>436</v>
      </c>
    </row>
    <row r="158" spans="3:7" ht="12.75" customHeight="1">
      <c r="C158" s="4" t="s">
        <v>437</v>
      </c>
      <c r="D158" s="215">
        <f>G55</f>
        <v>3842538.0273791989</v>
      </c>
      <c r="E158" s="215">
        <f>D158/'InfoInicial-CálcAux'!L14</f>
        <v>2.3763376792697581</v>
      </c>
      <c r="F158" s="215">
        <f>E158*'InfoInicial-CálcAux'!L16</f>
        <v>99806.182529329846</v>
      </c>
    </row>
    <row r="159" spans="3:7" ht="12.75" customHeight="1">
      <c r="C159" s="4" t="s">
        <v>438</v>
      </c>
      <c r="D159" s="215">
        <f>D158</f>
        <v>3842538.0273791989</v>
      </c>
      <c r="E159" s="215">
        <f>D159/'InfoInicial-CálcAux'!M14</f>
        <v>2.0330889033752375</v>
      </c>
      <c r="F159" s="215">
        <f>E159*'InfoInicial-CálcAux'!M16</f>
        <v>85389.733941759972</v>
      </c>
    </row>
    <row r="160" spans="3:7" ht="12.75" customHeight="1"/>
    <row r="161" spans="3:9" ht="12.75" customHeight="1">
      <c r="C161" s="65" t="s">
        <v>432</v>
      </c>
      <c r="D161" s="39">
        <f>D158*3/12</f>
        <v>960634.50684479962</v>
      </c>
    </row>
    <row r="162" spans="3:9" ht="12.75" customHeight="1">
      <c r="C162" s="16"/>
    </row>
    <row r="163" spans="3:9" ht="12.75" customHeight="1">
      <c r="C163" s="988" t="s">
        <v>443</v>
      </c>
      <c r="D163" s="989"/>
      <c r="E163" s="989"/>
      <c r="F163" s="989"/>
      <c r="G163" s="989"/>
      <c r="H163" s="990"/>
    </row>
    <row r="164" spans="3:9" ht="12.75" customHeight="1">
      <c r="C164" s="6" t="s">
        <v>444</v>
      </c>
      <c r="D164" s="63" t="s">
        <v>437</v>
      </c>
      <c r="E164" s="63" t="s">
        <v>445</v>
      </c>
      <c r="F164" s="63" t="s">
        <v>446</v>
      </c>
      <c r="G164" s="63" t="s">
        <v>447</v>
      </c>
      <c r="H164" s="63" t="s">
        <v>448</v>
      </c>
    </row>
    <row r="165" spans="3:9" ht="12.75" customHeight="1">
      <c r="C165" s="6" t="s">
        <v>449</v>
      </c>
      <c r="D165" s="69">
        <f>(('E-Costos'!C7-'E-Costos'!C33-'E-Costos'!H33)/'InfoInicial-CálcAux'!L14)*'InfoInicial-CálcAux'!L13</f>
        <v>26270163.504211109</v>
      </c>
      <c r="E165" s="69">
        <f>('E-Costos'!D7-'E-Costos'!D33)*'InfoInicial-CálcAux'!M13/'InfoInicial-CálcAux'!M14</f>
        <v>21793548.734562259</v>
      </c>
      <c r="F165" s="69">
        <f>('E-Costos'!E7-'E-Costos'!E33)*'InfoInicial-CálcAux'!M13/'InfoInicial-CálcAux'!M14</f>
        <v>21793548.734562259</v>
      </c>
      <c r="G165" s="69">
        <f>('E-Costos'!F7-'E-Costos'!F33)*'InfoInicial-CálcAux'!M13/'InfoInicial-CálcAux'!M14</f>
        <v>21793548.734562259</v>
      </c>
      <c r="H165" s="69">
        <f>G165</f>
        <v>21793548.734562259</v>
      </c>
      <c r="I165" s="70"/>
    </row>
    <row r="166" spans="3:9" ht="12.75" customHeight="1">
      <c r="C166" s="152" t="s">
        <v>450</v>
      </c>
      <c r="D166" s="71">
        <f>('E-Costos'!C8-'E-Costos'!C34-'E-Costos'!H34)*'InfoInicial-CálcAux'!L13/'InfoInicial-CálcAux'!L14</f>
        <v>74300.8142138619</v>
      </c>
      <c r="E166" s="69">
        <f>('E-Costos'!D8-'E-Costos'!D34)*'InfoInicial-CálcAux'!M13/'InfoInicial-CálcAux'!M14</f>
        <v>63945.46008327794</v>
      </c>
      <c r="F166" s="69">
        <f t="shared" ref="F166:H166" si="31">E166</f>
        <v>63945.46008327794</v>
      </c>
      <c r="G166" s="69">
        <f t="shared" si="31"/>
        <v>63945.46008327794</v>
      </c>
      <c r="H166" s="69">
        <f t="shared" si="31"/>
        <v>63945.46008327794</v>
      </c>
      <c r="I166" s="72"/>
    </row>
    <row r="167" spans="3:9" ht="12.75" customHeight="1">
      <c r="C167" s="73" t="s">
        <v>451</v>
      </c>
      <c r="D167" s="64"/>
      <c r="E167" s="64"/>
      <c r="F167" s="64"/>
      <c r="G167" s="64"/>
      <c r="H167" s="64"/>
      <c r="I167" s="72"/>
    </row>
    <row r="168" spans="3:9" ht="12.75" customHeight="1">
      <c r="C168" s="5" t="s">
        <v>452</v>
      </c>
      <c r="D168" s="71"/>
      <c r="E168" s="71"/>
      <c r="F168" s="71"/>
      <c r="G168" s="71"/>
      <c r="H168" s="71"/>
      <c r="I168" s="70"/>
    </row>
    <row r="169" spans="3:9" ht="12.75" customHeight="1">
      <c r="C169" s="6" t="s">
        <v>453</v>
      </c>
      <c r="D169" s="71"/>
      <c r="E169" s="71"/>
      <c r="F169" s="71"/>
      <c r="G169" s="71"/>
      <c r="H169" s="71"/>
      <c r="I169" s="74"/>
    </row>
    <row r="170" spans="3:9" ht="12.75" customHeight="1">
      <c r="C170" s="6" t="s">
        <v>454</v>
      </c>
      <c r="D170" s="71">
        <f>('E-Costos'!C12-'E-Costos'!C38-'E-Costos'!H38)*'InfoInicial-CálcAux'!L13/'InfoInicial-CálcAux'!L14</f>
        <v>411029.8475034851</v>
      </c>
      <c r="E170" s="71">
        <f>('E-Costos'!D12-'E-Costos'!D38)*'InfoInicial-CálcAux'!M13/'InfoInicial-CálcAux'!M14</f>
        <v>373968.81999549351</v>
      </c>
      <c r="F170" s="71">
        <f t="shared" ref="F170:H170" si="32">E170</f>
        <v>373968.81999549351</v>
      </c>
      <c r="G170" s="71">
        <f t="shared" si="32"/>
        <v>373968.81999549351</v>
      </c>
      <c r="H170" s="71">
        <f t="shared" si="32"/>
        <v>373968.81999549351</v>
      </c>
      <c r="I170" s="70"/>
    </row>
    <row r="171" spans="3:9" ht="12.75" customHeight="1">
      <c r="C171" s="6" t="s">
        <v>455</v>
      </c>
      <c r="D171" s="71">
        <f>('E-Costos'!C13-'E-Costos'!C39-'E-Costos'!H39)*'InfoInicial-CálcAux'!M13/'InfoInicial-CálcAux'!M14</f>
        <v>151022.17528680715</v>
      </c>
      <c r="E171" s="71">
        <f>('E-Costos'!D13-'E-Costos'!D39)*'InfoInicial-CálcAux'!M13/'InfoInicial-CálcAux'!M14</f>
        <v>151038.38783494517</v>
      </c>
      <c r="F171" s="71">
        <f t="shared" ref="F171:H171" si="33">E171</f>
        <v>151038.38783494517</v>
      </c>
      <c r="G171" s="71">
        <f t="shared" si="33"/>
        <v>151038.38783494517</v>
      </c>
      <c r="H171" s="71">
        <f t="shared" si="33"/>
        <v>151038.38783494517</v>
      </c>
      <c r="I171" s="75"/>
    </row>
    <row r="172" spans="3:9" ht="12.75" customHeight="1">
      <c r="C172" s="6" t="s">
        <v>456</v>
      </c>
      <c r="D172" s="71"/>
      <c r="E172" s="71"/>
      <c r="F172" s="71"/>
      <c r="G172" s="71"/>
      <c r="H172" s="71"/>
      <c r="I172" s="76"/>
    </row>
    <row r="173" spans="3:9" ht="12.75" customHeight="1">
      <c r="C173" s="6" t="s">
        <v>457</v>
      </c>
      <c r="D173" s="71"/>
      <c r="E173" s="71"/>
      <c r="F173" s="71"/>
      <c r="G173" s="71"/>
      <c r="H173" s="71"/>
      <c r="I173" s="76"/>
    </row>
    <row r="174" spans="3:9" ht="12.75" customHeight="1">
      <c r="C174" s="6" t="s">
        <v>458</v>
      </c>
      <c r="D174" s="71"/>
      <c r="E174" s="71"/>
      <c r="F174" s="71"/>
      <c r="G174" s="71"/>
      <c r="H174" s="71"/>
      <c r="I174" s="70"/>
    </row>
    <row r="175" spans="3:9" ht="12.75" customHeight="1">
      <c r="C175" s="6" t="s">
        <v>459</v>
      </c>
      <c r="D175" s="71"/>
      <c r="E175" s="71"/>
      <c r="F175" s="71"/>
      <c r="G175" s="71"/>
      <c r="H175" s="71"/>
      <c r="I175" s="75"/>
    </row>
    <row r="176" spans="3:9" ht="12.75" customHeight="1">
      <c r="C176" s="6" t="s">
        <v>460</v>
      </c>
      <c r="D176" s="71"/>
      <c r="E176" s="71"/>
      <c r="F176" s="71"/>
      <c r="G176" s="71"/>
      <c r="H176" s="71"/>
      <c r="I176" s="72"/>
    </row>
    <row r="177" spans="3:9" ht="12.75" customHeight="1">
      <c r="D177" s="16"/>
      <c r="E177" s="16"/>
      <c r="F177" s="16"/>
      <c r="G177" s="16"/>
      <c r="H177" s="16"/>
      <c r="I177" s="16"/>
    </row>
    <row r="178" spans="3:9" ht="12.75" customHeight="1">
      <c r="D178" s="16"/>
      <c r="E178" s="16"/>
      <c r="F178" s="16"/>
      <c r="G178" s="16"/>
      <c r="H178" s="16"/>
      <c r="I178" s="16"/>
    </row>
    <row r="179" spans="3:9" ht="12.75" customHeight="1">
      <c r="C179" t="s">
        <v>461</v>
      </c>
      <c r="D179" t="s">
        <v>462</v>
      </c>
      <c r="E179" t="s">
        <v>99</v>
      </c>
    </row>
    <row r="180" spans="3:9" ht="12.75" customHeight="1">
      <c r="C180">
        <f>1900*6</f>
        <v>11400</v>
      </c>
      <c r="D180">
        <f>C180*20</f>
        <v>228000</v>
      </c>
      <c r="E180">
        <f>D180*12</f>
        <v>2736000</v>
      </c>
    </row>
    <row r="181" spans="3:9" ht="12.75" customHeight="1"/>
    <row r="182" spans="3:9" ht="12.75" customHeight="1"/>
    <row r="183" spans="3:9" ht="12.75" customHeight="1"/>
    <row r="184" spans="3:9" ht="12.75" customHeight="1"/>
    <row r="185" spans="3:9" ht="12.75" customHeight="1"/>
    <row r="186" spans="3:9" ht="12.75" customHeight="1"/>
    <row r="187" spans="3:9" ht="12.75" customHeight="1"/>
    <row r="188" spans="3:9" ht="12.75" customHeight="1"/>
    <row r="189" spans="3:9" ht="12.75" customHeight="1"/>
    <row r="190" spans="3:9" ht="12.75" customHeight="1"/>
    <row r="191" spans="3:9" ht="12.75" customHeight="1"/>
    <row r="192" spans="3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B2:K2"/>
    <mergeCell ref="C53:H53"/>
    <mergeCell ref="L81:P81"/>
    <mergeCell ref="B24:C24"/>
    <mergeCell ref="B27:C27"/>
    <mergeCell ref="B28:C28"/>
    <mergeCell ref="B14:C14"/>
    <mergeCell ref="B15:C15"/>
    <mergeCell ref="B16:C16"/>
    <mergeCell ref="B17:C17"/>
    <mergeCell ref="B25:C25"/>
    <mergeCell ref="B26:C26"/>
    <mergeCell ref="H25:H28"/>
    <mergeCell ref="H15:H24"/>
    <mergeCell ref="I15:I24"/>
    <mergeCell ref="I25:I28"/>
    <mergeCell ref="C163:H163"/>
    <mergeCell ref="C76:H76"/>
    <mergeCell ref="C94:H94"/>
    <mergeCell ref="C98:H98"/>
    <mergeCell ref="C107:H107"/>
  </mergeCells>
  <hyperlinks>
    <hyperlink ref="D96" r:id="rId1" xr:uid="{00000000-0004-0000-0600-000004000000}"/>
    <hyperlink ref="E109" r:id="rId2" xr:uid="{00000000-0004-0000-0600-000006000000}"/>
    <hyperlink ref="K4" r:id="rId3" location="position=4&amp;search_layout=stack&amp;type=pad&amp;tracking_id=748425f6-ed9e-43e1-b7ba-d3809d79ee1e#position=4&amp;search_layout=stack&amp;type=pad&amp;tracking_id=748425f6-ed9e-43e1-b7ba-d3809d79ee1e&amp;is_advertising=true&amp;ad_domain=VQCATCORE_LST&amp;ad_position=4&amp;ad_click_id=ZjdjNjY0YWItMmIzOS00MTliLTk1ZjItOTNjZjg0NGJiOTIx" xr:uid="{C5B3CCE5-A59F-4B05-A1CB-02EF7809BE64}"/>
    <hyperlink ref="K8" r:id="rId4" location="position=2&amp;search_layout=stack&amp;type=item&amp;tracking_id=bb216e86-0421-4481-8842-4f09ca6a8059" xr:uid="{5283FF01-F271-4050-9C69-3F0E0A851E06}"/>
    <hyperlink ref="K5" r:id="rId5" location="position=1&amp;search_layout=stack&amp;type=item&amp;tracking_id=46e8fc1e-604b-4a93-b945-993e36d5c48e" xr:uid="{95B8BF1D-5A7E-4D85-BABF-F000D210EF24}"/>
    <hyperlink ref="K6" r:id="rId6" location="position=3&amp;search_layout=stack&amp;type=item&amp;tracking_id=217abb8c-e085-4956-ba3d-cbf1e8ff46ea" xr:uid="{F582FCAC-4442-4B4F-9B0C-652647592349}"/>
    <hyperlink ref="K26" r:id="rId7" xr:uid="{D29F4353-7026-400B-AAED-AE826DCB65B9}"/>
    <hyperlink ref="K24" r:id="rId8" xr:uid="{77A047BD-7216-4525-BEA4-6E98DEF7F7CB}"/>
    <hyperlink ref="K27" r:id="rId9" xr:uid="{0BB81987-6715-4DAB-8984-CC15C8825D82}"/>
    <hyperlink ref="K25" r:id="rId10" xr:uid="{11FA9F79-C9CB-4D16-8031-1F3CEFC84804}"/>
    <hyperlink ref="K15" r:id="rId11" xr:uid="{B4677ED7-966E-4DAA-92FA-B8AAB12740F9}"/>
    <hyperlink ref="K16" r:id="rId12" xr:uid="{C132483D-8B2D-492E-8A3D-48B6C933B1A0}"/>
    <hyperlink ref="K19" r:id="rId13" xr:uid="{FBD56803-97BA-4EFE-BE16-BEB9E5313200}"/>
    <hyperlink ref="K21" r:id="rId14" xr:uid="{B41F3667-0CB5-45BE-A775-452CB69B39D7}"/>
    <hyperlink ref="K17" r:id="rId15" xr:uid="{DB014DB0-5632-4B74-AB1E-EC9C2E163A7F}"/>
    <hyperlink ref="K18" r:id="rId16" xr:uid="{3FB8DE58-0E11-4972-A1BD-435DD8371F27}"/>
    <hyperlink ref="K20" r:id="rId17" xr:uid="{6FE7F695-E940-40DC-A087-117EC085B1BC}"/>
    <hyperlink ref="K22" r:id="rId18" xr:uid="{26A57D72-2A6E-4869-BD3A-F5D1A28D3546}"/>
    <hyperlink ref="K23" r:id="rId19" xr:uid="{95C00099-0B25-40B5-9277-8F8584E214B9}"/>
    <hyperlink ref="I53" r:id="rId20" xr:uid="{CDC37DDB-789C-47C8-A1D3-0E0FD59CF455}"/>
  </hyperlinks>
  <pageMargins left="0.7" right="0.7" top="0.75" bottom="0.75" header="0" footer="0"/>
  <pageSetup orientation="landscape"/>
  <drawing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Z1000"/>
  <sheetViews>
    <sheetView showGridLines="0" topLeftCell="D1" workbookViewId="0">
      <selection activeCell="H31" sqref="H31"/>
    </sheetView>
  </sheetViews>
  <sheetFormatPr baseColWidth="10" defaultColWidth="12.7109375" defaultRowHeight="15" customHeight="1"/>
  <cols>
    <col min="1" max="1" width="49.28515625" customWidth="1"/>
    <col min="2" max="2" width="22.7109375" bestFit="1" customWidth="1"/>
    <col min="3" max="3" width="19" bestFit="1" customWidth="1"/>
    <col min="4" max="5" width="20" bestFit="1" customWidth="1"/>
    <col min="6" max="6" width="44.42578125" customWidth="1"/>
    <col min="7" max="7" width="22.7109375" bestFit="1" customWidth="1"/>
    <col min="8" max="8" width="13.85546875" customWidth="1"/>
    <col min="9" max="9" width="22.7109375" bestFit="1" customWidth="1"/>
    <col min="10" max="26" width="11.28515625" customWidth="1"/>
  </cols>
  <sheetData>
    <row r="1" spans="1:26" ht="12.75" customHeight="1">
      <c r="A1" s="19" t="s">
        <v>463</v>
      </c>
      <c r="B1" s="3"/>
      <c r="C1" s="3"/>
      <c r="D1" s="3"/>
      <c r="E1" s="20">
        <v>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48" t="s">
        <v>464</v>
      </c>
      <c r="B3" s="1012" t="s">
        <v>465</v>
      </c>
      <c r="C3" s="1013"/>
      <c r="D3" s="1012" t="s">
        <v>466</v>
      </c>
      <c r="E3" s="1014"/>
      <c r="F3" s="449" t="s">
        <v>467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450"/>
      <c r="B4" s="434" t="s">
        <v>14</v>
      </c>
      <c r="C4" s="434" t="s">
        <v>2</v>
      </c>
      <c r="D4" s="434" t="s">
        <v>14</v>
      </c>
      <c r="E4" s="435" t="s">
        <v>2</v>
      </c>
      <c r="F4" s="43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1"/>
      <c r="B5" s="451"/>
      <c r="C5" s="451"/>
      <c r="D5" s="451"/>
      <c r="E5" s="451"/>
      <c r="F5" s="45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52" t="s">
        <v>468</v>
      </c>
      <c r="B6" s="453" t="s">
        <v>200</v>
      </c>
      <c r="C6" s="454"/>
      <c r="D6" s="454"/>
      <c r="E6" s="454"/>
      <c r="F6" s="45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55" t="s">
        <v>469</v>
      </c>
      <c r="B7" s="456" t="s">
        <v>470</v>
      </c>
      <c r="C7" s="457">
        <v>0</v>
      </c>
      <c r="D7" s="457">
        <v>0</v>
      </c>
      <c r="E7" s="457">
        <v>0</v>
      </c>
      <c r="F7" s="45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55" t="s">
        <v>109</v>
      </c>
      <c r="B8" s="458">
        <f>'CA Inv AF y Am'!E6</f>
        <v>111650000</v>
      </c>
      <c r="C8" s="457">
        <f>'CA Inv AF y Am'!E6</f>
        <v>111650000</v>
      </c>
      <c r="D8" s="457">
        <v>0</v>
      </c>
      <c r="E8" s="457">
        <v>0</v>
      </c>
      <c r="F8" s="45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55" t="s">
        <v>471</v>
      </c>
      <c r="B9" s="459">
        <f>'CA Inv AF y Am'!E79</f>
        <v>26358260</v>
      </c>
      <c r="C9" s="457">
        <v>0</v>
      </c>
      <c r="D9" s="457">
        <v>0</v>
      </c>
      <c r="E9" s="457">
        <v>0</v>
      </c>
      <c r="F9" s="460" t="s">
        <v>472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55" t="s">
        <v>473</v>
      </c>
      <c r="B10" s="456" t="s">
        <v>200</v>
      </c>
      <c r="C10" s="457"/>
      <c r="D10" s="457"/>
      <c r="E10" s="457"/>
      <c r="F10" s="454"/>
      <c r="G10" s="3"/>
      <c r="H10" s="3"/>
      <c r="I10" s="4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55" t="s">
        <v>474</v>
      </c>
      <c r="B11" s="459">
        <f>'CA Inv AF y Am'!E46</f>
        <v>16385145</v>
      </c>
      <c r="C11" s="457">
        <v>0</v>
      </c>
      <c r="D11" s="457">
        <v>0</v>
      </c>
      <c r="E11" s="457">
        <v>0</v>
      </c>
      <c r="F11" s="45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55" t="s">
        <v>475</v>
      </c>
      <c r="B12" s="459">
        <f>'CA Inv AF y Am'!E49</f>
        <v>3131782.5</v>
      </c>
      <c r="C12" s="457"/>
      <c r="D12" s="457"/>
      <c r="E12" s="457"/>
      <c r="F12" s="45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55" t="s">
        <v>476</v>
      </c>
      <c r="B13" s="459">
        <f>B11*0.1</f>
        <v>1638514.5</v>
      </c>
      <c r="C13" s="457">
        <v>0</v>
      </c>
      <c r="D13" s="457">
        <v>0</v>
      </c>
      <c r="E13" s="457">
        <v>0</v>
      </c>
      <c r="F13" s="460" t="s">
        <v>477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55" t="s">
        <v>478</v>
      </c>
      <c r="B14" s="459">
        <f>SUM(B11:B12)*0.15</f>
        <v>2927539.125</v>
      </c>
      <c r="C14" s="457"/>
      <c r="D14" s="457"/>
      <c r="E14" s="457"/>
      <c r="F14" s="460" t="s">
        <v>479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55" t="s">
        <v>480</v>
      </c>
      <c r="B15" s="456" t="s">
        <v>470</v>
      </c>
      <c r="C15" s="457">
        <v>0</v>
      </c>
      <c r="D15" s="457">
        <v>0</v>
      </c>
      <c r="E15" s="457">
        <v>0</v>
      </c>
      <c r="F15" s="45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55" t="s">
        <v>481</v>
      </c>
      <c r="B16" s="459">
        <f>'CA Inv AF y Am'!E37</f>
        <v>6671829</v>
      </c>
      <c r="C16" s="457"/>
      <c r="D16" s="457"/>
      <c r="E16" s="457"/>
      <c r="F16" s="45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55" t="s">
        <v>482</v>
      </c>
      <c r="B17" s="459">
        <f>'CA Inv AF y Am'!E6*0.01</f>
        <v>1116500</v>
      </c>
      <c r="C17" s="457"/>
      <c r="D17" s="457"/>
      <c r="E17" s="457"/>
      <c r="F17" s="460" t="s">
        <v>483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55" t="s">
        <v>484</v>
      </c>
      <c r="B18" s="456" t="s">
        <v>470</v>
      </c>
      <c r="C18" s="457">
        <v>0</v>
      </c>
      <c r="D18" s="457">
        <v>0</v>
      </c>
      <c r="E18" s="457">
        <v>0</v>
      </c>
      <c r="F18" s="45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55" t="s">
        <v>76</v>
      </c>
      <c r="B19" s="459">
        <f>SUM(B7:B18)*InfoInicial!B14</f>
        <v>8493978.5062499996</v>
      </c>
      <c r="C19" s="457">
        <v>0</v>
      </c>
      <c r="D19" s="457">
        <v>0</v>
      </c>
      <c r="E19" s="457">
        <v>0</v>
      </c>
      <c r="F19" s="45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55" t="s">
        <v>200</v>
      </c>
      <c r="B20" s="456" t="s">
        <v>200</v>
      </c>
      <c r="C20" s="457"/>
      <c r="D20" s="457"/>
      <c r="E20" s="457"/>
      <c r="F20" s="45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61" t="s">
        <v>485</v>
      </c>
      <c r="B21" s="459">
        <f>SUM(B7:B19)</f>
        <v>178373548.63124999</v>
      </c>
      <c r="C21" s="457">
        <v>0</v>
      </c>
      <c r="D21" s="457">
        <v>0</v>
      </c>
      <c r="E21" s="457">
        <v>0</v>
      </c>
      <c r="F21" s="45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55" t="s">
        <v>200</v>
      </c>
      <c r="B22" s="456" t="s">
        <v>200</v>
      </c>
      <c r="C22" s="457"/>
      <c r="D22" s="457"/>
      <c r="E22" s="457"/>
      <c r="F22" s="45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52" t="s">
        <v>486</v>
      </c>
      <c r="B23" s="453" t="s">
        <v>200</v>
      </c>
      <c r="C23" s="457"/>
      <c r="D23" s="457"/>
      <c r="E23" s="457"/>
      <c r="F23" s="45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55" t="s">
        <v>487</v>
      </c>
      <c r="B24" s="459">
        <v>1620000</v>
      </c>
      <c r="C24" s="457">
        <v>0</v>
      </c>
      <c r="D24" s="457"/>
      <c r="E24" s="457"/>
      <c r="F24" s="45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55" t="s">
        <v>187</v>
      </c>
      <c r="B25" s="459">
        <f>'CA Inv AF y Am'!D55</f>
        <v>44640</v>
      </c>
      <c r="C25" s="457">
        <v>0</v>
      </c>
      <c r="D25" s="457"/>
      <c r="E25" s="457"/>
      <c r="F25" s="462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55" t="s">
        <v>190</v>
      </c>
      <c r="B26" s="459">
        <f>'CA Inv AF y Am'!D59</f>
        <v>373000</v>
      </c>
      <c r="C26" s="457">
        <v>0</v>
      </c>
      <c r="D26" s="457"/>
      <c r="E26" s="457"/>
      <c r="F26" s="45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55" t="s">
        <v>488</v>
      </c>
      <c r="B27" s="456" t="s">
        <v>470</v>
      </c>
      <c r="C27" s="459">
        <f>'E-Costos'!H45</f>
        <v>53670595.525759727</v>
      </c>
      <c r="D27" s="457"/>
      <c r="E27" s="457"/>
      <c r="F27" s="45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55" t="s">
        <v>205</v>
      </c>
      <c r="B28" s="459">
        <f>'CA Inv AF y Am'!D68</f>
        <v>56263</v>
      </c>
      <c r="C28" s="457">
        <v>0</v>
      </c>
      <c r="D28" s="457">
        <v>0</v>
      </c>
      <c r="E28" s="457">
        <v>0</v>
      </c>
      <c r="F28" s="45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55" t="s">
        <v>196</v>
      </c>
      <c r="B29" s="456" t="s">
        <v>470</v>
      </c>
      <c r="C29" s="457">
        <f>'CA Inv AF y Am'!D64</f>
        <v>1022210</v>
      </c>
      <c r="D29" s="457"/>
      <c r="E29" s="457"/>
      <c r="F29" s="460" t="s">
        <v>489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55" t="s">
        <v>490</v>
      </c>
      <c r="B30" s="456" t="s">
        <v>470</v>
      </c>
      <c r="C30" s="457">
        <v>0</v>
      </c>
      <c r="D30" s="457">
        <v>0</v>
      </c>
      <c r="E30" s="457">
        <v>0</v>
      </c>
      <c r="F30" s="45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55" t="s">
        <v>76</v>
      </c>
      <c r="B31" s="459">
        <f>SUM(B24:B30)*InfoInicial!B14</f>
        <v>104695.15000000001</v>
      </c>
      <c r="C31" s="459">
        <f>SUM(C24:C30)*InfoInicial!B14</f>
        <v>2734640.2762879864</v>
      </c>
      <c r="D31" s="457"/>
      <c r="E31" s="457"/>
      <c r="F31" s="45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"/>
      <c r="B32" s="463" t="s">
        <v>491</v>
      </c>
      <c r="C32" s="457"/>
      <c r="D32" s="457"/>
      <c r="E32" s="457"/>
      <c r="F32" s="45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42" t="s">
        <v>492</v>
      </c>
      <c r="B33" s="457">
        <f>SUM(B24:B31)+B8</f>
        <v>113848598.15000001</v>
      </c>
      <c r="C33" s="457">
        <f>SUM(C24:C31) +C8</f>
        <v>169077445.80204773</v>
      </c>
      <c r="D33" s="457"/>
      <c r="E33" s="457"/>
      <c r="F33" s="45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"/>
      <c r="B34" s="457"/>
      <c r="C34" s="457"/>
      <c r="D34" s="457"/>
      <c r="E34" s="457"/>
      <c r="F34" s="45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2" t="s">
        <v>493</v>
      </c>
      <c r="B35" s="457">
        <f>B21+B33</f>
        <v>292222146.78125</v>
      </c>
      <c r="C35" s="457">
        <f>C21+C33</f>
        <v>169077445.80204773</v>
      </c>
      <c r="D35" s="457">
        <f t="shared" ref="D35" si="0">D21+D33</f>
        <v>0</v>
      </c>
      <c r="E35" s="457"/>
      <c r="F35" s="45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2" t="s">
        <v>494</v>
      </c>
      <c r="B36" s="457">
        <f>(B35)*InfoInicial!B3</f>
        <v>61366650.824062496</v>
      </c>
      <c r="C36" s="457">
        <f>InfoInicial!B3*C35</f>
        <v>35506263.618430018</v>
      </c>
      <c r="D36" s="457"/>
      <c r="E36" s="457"/>
      <c r="F36" s="45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43"/>
      <c r="B37" s="457"/>
      <c r="C37" s="457"/>
      <c r="D37" s="457"/>
      <c r="E37" s="457"/>
      <c r="F37" s="45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464" t="s">
        <v>495</v>
      </c>
      <c r="B38" s="465">
        <f>B35+B36</f>
        <v>353588797.60531247</v>
      </c>
      <c r="C38" s="465">
        <f>C35+C36</f>
        <v>204583709.42047775</v>
      </c>
      <c r="D38" s="465">
        <f t="shared" ref="D38" si="1">D35+D36</f>
        <v>0</v>
      </c>
      <c r="E38" s="465"/>
      <c r="F38" s="46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4" t="s">
        <v>496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466" t="s">
        <v>497</v>
      </c>
      <c r="B41" s="467" t="s">
        <v>498</v>
      </c>
      <c r="C41" s="467" t="s">
        <v>499</v>
      </c>
      <c r="D41" s="1012" t="s">
        <v>500</v>
      </c>
      <c r="E41" s="1015"/>
      <c r="F41" s="1013"/>
      <c r="G41" s="468" t="s">
        <v>501</v>
      </c>
      <c r="H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6"/>
      <c r="B42" s="434" t="s">
        <v>502</v>
      </c>
      <c r="C42" s="434"/>
      <c r="D42" s="434" t="s">
        <v>503</v>
      </c>
      <c r="E42" s="434" t="s">
        <v>504</v>
      </c>
      <c r="F42" s="434"/>
      <c r="G42" s="469"/>
      <c r="H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470" t="s">
        <v>505</v>
      </c>
      <c r="B43" s="471" t="s">
        <v>200</v>
      </c>
      <c r="C43" s="471" t="s">
        <v>200</v>
      </c>
      <c r="D43" s="471" t="s">
        <v>200</v>
      </c>
      <c r="E43" s="471" t="s">
        <v>200</v>
      </c>
      <c r="F43" s="471" t="s">
        <v>200</v>
      </c>
      <c r="G43" s="472" t="s">
        <v>200</v>
      </c>
      <c r="H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461" t="s">
        <v>200</v>
      </c>
      <c r="B44" s="456" t="s">
        <v>200</v>
      </c>
      <c r="C44" s="456" t="s">
        <v>200</v>
      </c>
      <c r="D44" s="456" t="s">
        <v>200</v>
      </c>
      <c r="E44" s="456" t="s">
        <v>200</v>
      </c>
      <c r="F44" s="456" t="s">
        <v>200</v>
      </c>
      <c r="G44" s="473" t="s">
        <v>200</v>
      </c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455" t="s">
        <v>469</v>
      </c>
      <c r="B45" s="456" t="s">
        <v>470</v>
      </c>
      <c r="C45" s="474">
        <f>1/InfoInicial!B8</f>
        <v>3.3333333333333333E-2</v>
      </c>
      <c r="D45" s="456" t="s">
        <v>506</v>
      </c>
      <c r="E45" s="456" t="s">
        <v>507</v>
      </c>
      <c r="F45" s="456" t="s">
        <v>200</v>
      </c>
      <c r="G45" s="473" t="s">
        <v>470</v>
      </c>
      <c r="H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455" t="s">
        <v>109</v>
      </c>
      <c r="B46" s="459">
        <f>B8</f>
        <v>111650000</v>
      </c>
      <c r="C46" s="474">
        <f>1/InfoInicial!B8</f>
        <v>3.3333333333333333E-2</v>
      </c>
      <c r="D46" s="459">
        <f>B46*C46</f>
        <v>3721666.6666666665</v>
      </c>
      <c r="E46" s="459">
        <f>B46*C46</f>
        <v>3721666.6666666665</v>
      </c>
      <c r="F46" s="456" t="s">
        <v>200</v>
      </c>
      <c r="G46" s="475">
        <f>B46-(3*D46+2*E46)</f>
        <v>93041666.666666672</v>
      </c>
      <c r="H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455" t="s">
        <v>471</v>
      </c>
      <c r="B47" s="459">
        <f>B9+B17</f>
        <v>27474760</v>
      </c>
      <c r="C47" s="456">
        <f>1/InfoInicial!B9</f>
        <v>0.1</v>
      </c>
      <c r="D47" s="459">
        <f t="shared" ref="D47:D51" si="2">B47*C47</f>
        <v>2747476</v>
      </c>
      <c r="E47" s="459">
        <f t="shared" ref="E47:E51" si="3">B47*C47</f>
        <v>2747476</v>
      </c>
      <c r="F47" s="456" t="s">
        <v>200</v>
      </c>
      <c r="G47" s="475">
        <f t="shared" ref="G47:G51" si="4">B47-(3*D47+2*E47)</f>
        <v>13737380</v>
      </c>
      <c r="H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455" t="s">
        <v>473</v>
      </c>
      <c r="B48" s="459">
        <f>SUM(B11:B14)</f>
        <v>24082981.125</v>
      </c>
      <c r="C48" s="456">
        <f>1/InfoInicial!B10</f>
        <v>0.1</v>
      </c>
      <c r="D48" s="459">
        <f t="shared" si="2"/>
        <v>2408298.1125000003</v>
      </c>
      <c r="E48" s="459">
        <f t="shared" si="3"/>
        <v>2408298.1125000003</v>
      </c>
      <c r="F48" s="456" t="s">
        <v>200</v>
      </c>
      <c r="G48" s="475">
        <f t="shared" si="4"/>
        <v>12041490.5625</v>
      </c>
      <c r="H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455" t="s">
        <v>480</v>
      </c>
      <c r="B49" s="456" t="s">
        <v>470</v>
      </c>
      <c r="C49" s="456">
        <f>1/InfoInicial!B11</f>
        <v>0.2</v>
      </c>
      <c r="D49" s="456" t="s">
        <v>470</v>
      </c>
      <c r="E49" s="456" t="s">
        <v>470</v>
      </c>
      <c r="F49" s="456" t="s">
        <v>200</v>
      </c>
      <c r="G49" s="456" t="s">
        <v>470</v>
      </c>
      <c r="H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55" t="s">
        <v>117</v>
      </c>
      <c r="B50" s="459">
        <f>B16</f>
        <v>6671829</v>
      </c>
      <c r="C50" s="456">
        <f>1/InfoInicial!B12</f>
        <v>0.2</v>
      </c>
      <c r="D50" s="459">
        <f>B50*C50</f>
        <v>1334365.8</v>
      </c>
      <c r="E50" s="459">
        <f t="shared" si="3"/>
        <v>1334365.8</v>
      </c>
      <c r="F50" s="456" t="s">
        <v>200</v>
      </c>
      <c r="G50" s="475">
        <f t="shared" si="4"/>
        <v>0</v>
      </c>
      <c r="H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55" t="s">
        <v>76</v>
      </c>
      <c r="B51" s="459">
        <f>B19</f>
        <v>8493978.5062499996</v>
      </c>
      <c r="C51" s="456">
        <f>1/InfoInicial!B13</f>
        <v>0.2</v>
      </c>
      <c r="D51" s="459">
        <f t="shared" si="2"/>
        <v>1698795.7012499999</v>
      </c>
      <c r="E51" s="459">
        <f t="shared" si="3"/>
        <v>1698795.7012499999</v>
      </c>
      <c r="F51" s="456" t="s">
        <v>200</v>
      </c>
      <c r="G51" s="475">
        <f t="shared" si="4"/>
        <v>0</v>
      </c>
      <c r="H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61" t="s">
        <v>508</v>
      </c>
      <c r="B52" s="476">
        <f>SUM(B45:B51)</f>
        <v>178373548.63124999</v>
      </c>
      <c r="C52" s="477" t="s">
        <v>200</v>
      </c>
      <c r="D52" s="476">
        <f>SUM(D45:D51)</f>
        <v>11910602.280416667</v>
      </c>
      <c r="E52" s="476">
        <f>SUM(E45:E51)</f>
        <v>11910602.280416667</v>
      </c>
      <c r="F52" s="477" t="s">
        <v>200</v>
      </c>
      <c r="G52" s="478">
        <f>SUM(G45:G51)</f>
        <v>118820537.22916667</v>
      </c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61" t="s">
        <v>200</v>
      </c>
      <c r="B53" s="456" t="s">
        <v>200</v>
      </c>
      <c r="C53" s="456" t="s">
        <v>200</v>
      </c>
      <c r="D53" s="456" t="s">
        <v>200</v>
      </c>
      <c r="E53" s="456" t="s">
        <v>200</v>
      </c>
      <c r="F53" s="456" t="s">
        <v>200</v>
      </c>
      <c r="G53" s="473" t="s">
        <v>200</v>
      </c>
      <c r="H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61" t="s">
        <v>509</v>
      </c>
      <c r="B54" s="459">
        <f>B33+C33</f>
        <v>282926043.95204771</v>
      </c>
      <c r="C54" s="456">
        <f>1/InfoInicial!B13</f>
        <v>0.2</v>
      </c>
      <c r="D54" s="459">
        <f>B54*C54</f>
        <v>56585208.790409543</v>
      </c>
      <c r="E54" s="459">
        <f>B54*C54</f>
        <v>56585208.790409543</v>
      </c>
      <c r="F54" s="456" t="s">
        <v>200</v>
      </c>
      <c r="G54" s="475">
        <f>B54-(D54*3+E54*2)</f>
        <v>0</v>
      </c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61" t="s">
        <v>200</v>
      </c>
      <c r="B55" s="456" t="s">
        <v>200</v>
      </c>
      <c r="C55" s="456" t="s">
        <v>200</v>
      </c>
      <c r="D55" s="456" t="s">
        <v>200</v>
      </c>
      <c r="E55" s="456" t="s">
        <v>200</v>
      </c>
      <c r="F55" s="456" t="s">
        <v>200</v>
      </c>
      <c r="G55" s="473" t="s">
        <v>200</v>
      </c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61" t="s">
        <v>200</v>
      </c>
      <c r="B56" s="456" t="s">
        <v>200</v>
      </c>
      <c r="C56" s="456" t="s">
        <v>200</v>
      </c>
      <c r="D56" s="479" t="s">
        <v>200</v>
      </c>
      <c r="E56" s="456" t="s">
        <v>200</v>
      </c>
      <c r="F56" s="456" t="s">
        <v>200</v>
      </c>
      <c r="G56" s="473" t="s">
        <v>200</v>
      </c>
      <c r="H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80" t="s">
        <v>510</v>
      </c>
      <c r="B57" s="481">
        <f>B52+B54</f>
        <v>461299592.58329773</v>
      </c>
      <c r="C57" s="481"/>
      <c r="D57" s="481">
        <f>D52+D54</f>
        <v>68495811.070826203</v>
      </c>
      <c r="E57" s="481">
        <f>E52+E54</f>
        <v>68495811.070826203</v>
      </c>
      <c r="F57" s="481"/>
      <c r="G57" s="481">
        <f>G52+G54</f>
        <v>118820537.22916667</v>
      </c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182"/>
      <c r="E58" s="3"/>
      <c r="F58" s="3"/>
      <c r="G58" s="4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18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/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D3:E3"/>
    <mergeCell ref="D41:F41"/>
  </mergeCells>
  <pageMargins left="0.42986111111111103" right="0.75" top="0.55972222222222201" bottom="1.4298611111111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1005"/>
  <sheetViews>
    <sheetView showGridLines="0" topLeftCell="B1" workbookViewId="0">
      <selection activeCell="C18" sqref="C18"/>
    </sheetView>
  </sheetViews>
  <sheetFormatPr baseColWidth="10" defaultColWidth="12.7109375" defaultRowHeight="15" customHeight="1"/>
  <cols>
    <col min="1" max="1" width="7" customWidth="1"/>
    <col min="2" max="2" width="40.85546875" customWidth="1"/>
    <col min="3" max="3" width="21" customWidth="1"/>
    <col min="4" max="4" width="19.28515625" customWidth="1"/>
    <col min="5" max="5" width="22" customWidth="1"/>
    <col min="6" max="6" width="18.28515625" customWidth="1"/>
    <col min="7" max="7" width="19.7109375" customWidth="1"/>
    <col min="8" max="8" width="21.140625" bestFit="1" customWidth="1"/>
    <col min="9" max="9" width="9.140625" customWidth="1"/>
    <col min="10" max="10" width="13.28515625" customWidth="1"/>
    <col min="11" max="11" width="6.85546875" customWidth="1"/>
    <col min="12" max="12" width="6" customWidth="1"/>
    <col min="13" max="13" width="14" customWidth="1"/>
    <col min="14" max="27" width="11.28515625" customWidth="1"/>
  </cols>
  <sheetData>
    <row r="1" spans="2:27" ht="12.75" customHeight="1">
      <c r="B1" s="19"/>
      <c r="C1" s="3"/>
      <c r="D1" s="3"/>
      <c r="E1" s="3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2.75" customHeight="1">
      <c r="B2" s="19" t="s">
        <v>56</v>
      </c>
      <c r="C2" s="3"/>
      <c r="D2" s="3"/>
      <c r="E2" s="3"/>
      <c r="F2" s="20">
        <f>InfoInicial!E1</f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2.75" customHeight="1">
      <c r="B3" s="19"/>
      <c r="C3" s="3"/>
      <c r="D3" s="3"/>
      <c r="E3" s="3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75">
      <c r="B4" s="1016" t="s">
        <v>511</v>
      </c>
      <c r="C4" s="1016"/>
      <c r="D4" s="1016"/>
      <c r="E4" s="1016"/>
      <c r="F4" s="1016"/>
      <c r="G4" s="101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.75" customHeight="1">
      <c r="B5" s="79"/>
      <c r="C5" s="482" t="s">
        <v>512</v>
      </c>
      <c r="D5" s="482"/>
      <c r="E5" s="482"/>
      <c r="F5" s="482"/>
      <c r="G5" s="48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.75" customHeight="1">
      <c r="B6" s="79" t="s">
        <v>444</v>
      </c>
      <c r="C6" s="434" t="s">
        <v>2</v>
      </c>
      <c r="D6" s="434" t="s">
        <v>3</v>
      </c>
      <c r="E6" s="434" t="s">
        <v>4</v>
      </c>
      <c r="F6" s="434" t="s">
        <v>5</v>
      </c>
      <c r="G6" s="435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.75" customHeight="1">
      <c r="B7" s="41" t="s">
        <v>449</v>
      </c>
      <c r="C7" s="437">
        <f>'CA COSTOS'!I9</f>
        <v>1205088000</v>
      </c>
      <c r="D7" s="437">
        <f>'CA COSTOS'!$J$9</f>
        <v>1121374800</v>
      </c>
      <c r="E7" s="437">
        <f t="shared" ref="E7:G7" si="0">D7</f>
        <v>1121374800</v>
      </c>
      <c r="F7" s="437">
        <f t="shared" si="0"/>
        <v>1121374800</v>
      </c>
      <c r="G7" s="437">
        <f t="shared" si="0"/>
        <v>1121374800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.75" customHeight="1">
      <c r="B8" s="80" t="s">
        <v>450</v>
      </c>
      <c r="C8" s="484">
        <f>'CA COSTOS'!G28</f>
        <v>3345925.44</v>
      </c>
      <c r="D8" s="484">
        <f>C8</f>
        <v>3345925.44</v>
      </c>
      <c r="E8" s="484">
        <f t="shared" ref="E8:G8" si="1">D8</f>
        <v>3345925.44</v>
      </c>
      <c r="F8" s="484">
        <f t="shared" si="1"/>
        <v>3345925.44</v>
      </c>
      <c r="G8" s="484">
        <f t="shared" si="1"/>
        <v>3345925.44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.75" customHeight="1">
      <c r="B9" s="41" t="s">
        <v>513</v>
      </c>
      <c r="C9" s="437"/>
      <c r="D9" s="437"/>
      <c r="E9" s="437"/>
      <c r="F9" s="437"/>
      <c r="G9" s="485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.75" customHeight="1">
      <c r="B10" s="81" t="s">
        <v>295</v>
      </c>
      <c r="C10" s="440">
        <f>'E-Inv AF y Am'!D57</f>
        <v>68495811.070826203</v>
      </c>
      <c r="D10" s="440">
        <f>'E-Inv AF y Am'!D57</f>
        <v>68495811.070826203</v>
      </c>
      <c r="E10" s="658">
        <f>'E-Inv AF y Am'!D57</f>
        <v>68495811.070826203</v>
      </c>
      <c r="F10" s="440">
        <f>'E-Inv AF y Am'!E57</f>
        <v>68495811.070826203</v>
      </c>
      <c r="G10" s="441">
        <f>'E-Inv AF y Am'!E57</f>
        <v>68495811.070826203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.75" customHeight="1">
      <c r="B11" s="81" t="s">
        <v>514</v>
      </c>
      <c r="C11" s="440">
        <f>'CA COSTOS'!I25-C8</f>
        <v>538974.14999999991</v>
      </c>
      <c r="D11" s="440">
        <f>C11</f>
        <v>538974.14999999991</v>
      </c>
      <c r="E11" s="440">
        <f>D11</f>
        <v>538974.14999999991</v>
      </c>
      <c r="F11" s="440">
        <f t="shared" ref="F11:G11" si="2">E11</f>
        <v>538974.14999999991</v>
      </c>
      <c r="G11" s="440">
        <f t="shared" si="2"/>
        <v>538974.14999999991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.75" customHeight="1">
      <c r="B12" s="81" t="s">
        <v>515</v>
      </c>
      <c r="C12" s="440">
        <f>'CA COSTOS'!F87</f>
        <v>20636001.894791253</v>
      </c>
      <c r="D12" s="440">
        <f>'CA COSTOS'!G87</f>
        <v>19505873.69479125</v>
      </c>
      <c r="E12" s="440">
        <f>'CA COSTOS'!H87</f>
        <v>19505873.69479125</v>
      </c>
      <c r="F12" s="440">
        <f>'CA COSTOS'!I87</f>
        <v>19505873.69479125</v>
      </c>
      <c r="G12" s="440">
        <f>'CA COSTOS'!J87</f>
        <v>19505873.69479125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2.75" customHeight="1">
      <c r="B13" s="81" t="s">
        <v>322</v>
      </c>
      <c r="C13" s="486">
        <f>'CA COSTOS'!$D$69</f>
        <v>7903034.6112981457</v>
      </c>
      <c r="D13" s="486">
        <f>'CA COSTOS'!$D$69</f>
        <v>7903034.6112981457</v>
      </c>
      <c r="E13" s="486">
        <f>'CA COSTOS'!$D$69</f>
        <v>7903034.6112981457</v>
      </c>
      <c r="F13" s="486">
        <f>'CA COSTOS'!$D$69</f>
        <v>7903034.6112981457</v>
      </c>
      <c r="G13" s="486">
        <f>'CA COSTOS'!$D$69</f>
        <v>7903034.6112981457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2.75" customHeight="1">
      <c r="B14" s="81" t="s">
        <v>516</v>
      </c>
      <c r="C14" s="440">
        <v>0</v>
      </c>
      <c r="D14" s="440">
        <v>0</v>
      </c>
      <c r="E14" s="440">
        <v>0</v>
      </c>
      <c r="F14" s="440">
        <v>0</v>
      </c>
      <c r="G14" s="441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2.75" customHeight="1">
      <c r="B15" s="81" t="s">
        <v>401</v>
      </c>
      <c r="C15" s="440">
        <f>'CA COSTOS'!C96*12</f>
        <v>103200</v>
      </c>
      <c r="D15" s="440">
        <f>'CA COSTOS'!C96*12</f>
        <v>103200</v>
      </c>
      <c r="E15" s="440">
        <f>'CA COSTOS'!C96*12</f>
        <v>103200</v>
      </c>
      <c r="F15" s="440">
        <f>'CA COSTOS'!C96*12</f>
        <v>103200</v>
      </c>
      <c r="G15" s="440">
        <f>'CA COSTOS'!C96*12</f>
        <v>103200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2.75" customHeight="1">
      <c r="B16" s="81" t="s">
        <v>405</v>
      </c>
      <c r="C16" s="440">
        <f>'CA COSTOS'!D100</f>
        <v>2453220</v>
      </c>
      <c r="D16" s="440">
        <f>'CA COSTOS'!D100</f>
        <v>2453220</v>
      </c>
      <c r="E16" s="440">
        <f>'CA COSTOS'!D100</f>
        <v>2453220</v>
      </c>
      <c r="F16" s="440">
        <f>'CA COSTOS'!D100</f>
        <v>2453220</v>
      </c>
      <c r="G16" s="440">
        <f>'CA COSTOS'!D100</f>
        <v>2453220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2.75" customHeight="1">
      <c r="B17" s="231" t="s">
        <v>363</v>
      </c>
      <c r="C17" s="487">
        <v>0</v>
      </c>
      <c r="D17" s="488">
        <v>0</v>
      </c>
      <c r="E17" s="440">
        <v>0</v>
      </c>
      <c r="F17" s="488">
        <v>0</v>
      </c>
      <c r="G17" s="441"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2.75" customHeight="1">
      <c r="B18" s="81" t="s">
        <v>517</v>
      </c>
      <c r="C18" s="440">
        <v>0</v>
      </c>
      <c r="D18" s="440">
        <v>0</v>
      </c>
      <c r="E18" s="440">
        <v>0</v>
      </c>
      <c r="F18" s="440">
        <v>0</v>
      </c>
      <c r="G18" s="441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.75" customHeight="1">
      <c r="B19" s="82" t="s">
        <v>518</v>
      </c>
      <c r="C19" s="440"/>
      <c r="D19" s="440"/>
      <c r="E19" s="440"/>
      <c r="F19" s="440"/>
      <c r="G19" s="441"/>
      <c r="H19" s="3"/>
      <c r="I19" s="3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.75" customHeight="1">
      <c r="B20" s="82" t="s">
        <v>518</v>
      </c>
      <c r="C20" s="440"/>
      <c r="D20" s="440"/>
      <c r="E20" s="440"/>
      <c r="F20" s="440"/>
      <c r="G20" s="441"/>
      <c r="H20" s="3"/>
      <c r="I20" s="3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82" t="s">
        <v>518</v>
      </c>
      <c r="C21" s="440"/>
      <c r="D21" s="440"/>
      <c r="E21" s="440"/>
      <c r="F21" s="440"/>
      <c r="H21" s="3"/>
      <c r="I21" s="3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45" t="s">
        <v>76</v>
      </c>
      <c r="C22" s="440">
        <f>SUM(C7:C21)*InfoInicial!$B$14</f>
        <v>65428208.358345799</v>
      </c>
      <c r="D22" s="440">
        <f>SUM(D7:D21)*InfoInicial!$B$14</f>
        <v>61186041.948345795</v>
      </c>
      <c r="E22" s="440">
        <f>SUM(E7:E21)*InfoInicial!$B$14</f>
        <v>61186041.948345795</v>
      </c>
      <c r="F22" s="440">
        <f>SUM(F7:F21)*InfoInicial!$B$14</f>
        <v>61186041.948345795</v>
      </c>
      <c r="G22" s="440">
        <f>SUM(G7:G20)*InfoInicial!$B$14</f>
        <v>61186041.948345795</v>
      </c>
      <c r="H22" s="3"/>
      <c r="I22" s="3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42" t="s">
        <v>519</v>
      </c>
      <c r="C23" s="440">
        <f>SUM(C7:C22)</f>
        <v>1373992375.5252616</v>
      </c>
      <c r="D23" s="440">
        <f>SUM(D7:D22)</f>
        <v>1284906880.9152617</v>
      </c>
      <c r="E23" s="440">
        <f t="shared" ref="E23:G23" si="3">SUM(E7:E22)</f>
        <v>1284906880.9152617</v>
      </c>
      <c r="F23" s="440">
        <f t="shared" si="3"/>
        <v>1284906880.9152617</v>
      </c>
      <c r="G23" s="440">
        <f t="shared" si="3"/>
        <v>1284906880.9152617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83"/>
      <c r="C24" s="444"/>
      <c r="D24" s="444"/>
      <c r="E24" s="444"/>
      <c r="F24" s="444"/>
      <c r="G24" s="4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84" t="s">
        <v>520</v>
      </c>
      <c r="C25" s="489">
        <f>(C10+C11+C15+C16+'CA COSTOS'!$F$69)/C23</f>
        <v>5.2128284461327681E-2</v>
      </c>
      <c r="D25" s="489">
        <f>(D10+D11+D15+D16+'CA COSTOS'!$F$69)/D23</f>
        <v>5.5742456097719134E-2</v>
      </c>
      <c r="E25" s="489">
        <f>(E10+E11+E15+E16+'CA COSTOS'!$F$69)/E23</f>
        <v>5.5742456097719134E-2</v>
      </c>
      <c r="F25" s="489">
        <f>(F10+F11+F15+F16+'CA COSTOS'!$F$69)/F23</f>
        <v>5.5742456097719134E-2</v>
      </c>
      <c r="G25" s="489">
        <f>(G10+G11+G15+G16+'CA COSTOS'!$F$69)/G23</f>
        <v>5.5742456097719134E-2</v>
      </c>
      <c r="H25" s="3"/>
      <c r="I25" s="4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46" t="s">
        <v>521</v>
      </c>
      <c r="C26" s="490">
        <f>(C7+C12+'CA COSTOS'!$E$69+C8+C22)/C23</f>
        <v>0.94787171553867233</v>
      </c>
      <c r="D26" s="490">
        <f>(D7+D12+'CA COSTOS'!$E$69+D8+D22)/D23</f>
        <v>0.94425754390228089</v>
      </c>
      <c r="E26" s="490">
        <f>(E7+E12+'CA COSTOS'!$E$69+E8+E22)/E23</f>
        <v>0.94425754390228089</v>
      </c>
      <c r="F26" s="490">
        <f>(F7+F12+'CA COSTOS'!$E$69+F8+F22)/F23</f>
        <v>0.94425754390228089</v>
      </c>
      <c r="G26" s="490">
        <f>(G7+G12+'CA COSTOS'!$E$69+G8+G22)/G23</f>
        <v>0.94425754390228089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36"/>
      <c r="C27" s="491"/>
      <c r="D27" s="491"/>
      <c r="E27" s="491"/>
      <c r="F27" s="491"/>
      <c r="G27" s="49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>
      <c r="J29">
        <f>42.3239899795082*1000</f>
        <v>42323.989979508195</v>
      </c>
      <c r="K29" s="3" t="s">
        <v>522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>
      <c r="B30" s="1017" t="s">
        <v>523</v>
      </c>
      <c r="C30" s="1017"/>
      <c r="D30" s="1017"/>
      <c r="E30" s="1017"/>
      <c r="F30" s="1017"/>
      <c r="G30" s="1017"/>
      <c r="H30" s="101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2.75" customHeight="1">
      <c r="B31" s="1016" t="s">
        <v>524</v>
      </c>
      <c r="C31" s="1016"/>
      <c r="D31" s="1016"/>
      <c r="E31" s="1016"/>
      <c r="F31" s="1016"/>
      <c r="G31" s="1016"/>
      <c r="H31" s="492" t="s">
        <v>357</v>
      </c>
      <c r="U31" s="3"/>
      <c r="V31" s="3"/>
      <c r="W31" s="3"/>
      <c r="X31" s="3"/>
      <c r="Y31" s="3"/>
      <c r="Z31" s="3"/>
      <c r="AA31" s="3"/>
    </row>
    <row r="32" spans="2:27" ht="12.75" customHeight="1">
      <c r="B32" s="79" t="s">
        <v>444</v>
      </c>
      <c r="C32" s="493" t="s">
        <v>2</v>
      </c>
      <c r="D32" s="493" t="s">
        <v>3</v>
      </c>
      <c r="E32" s="493" t="s">
        <v>4</v>
      </c>
      <c r="F32" s="493" t="s">
        <v>5</v>
      </c>
      <c r="G32" s="493" t="s">
        <v>6</v>
      </c>
      <c r="H32" s="494" t="s">
        <v>2</v>
      </c>
      <c r="I32" s="3"/>
      <c r="U32" s="3"/>
      <c r="V32" s="3"/>
      <c r="W32" s="3"/>
      <c r="X32" s="3"/>
      <c r="Y32" s="3"/>
      <c r="Z32" s="3"/>
      <c r="AA32" s="3"/>
    </row>
    <row r="33" spans="2:27" ht="12.75" customHeight="1">
      <c r="B33" s="41" t="s">
        <v>449</v>
      </c>
      <c r="C33" s="437">
        <f>J29*'CA COSTOS'!D129</f>
        <v>9903813.6552049182</v>
      </c>
      <c r="D33" s="437">
        <f>C33</f>
        <v>9903813.6552049182</v>
      </c>
      <c r="E33" s="437">
        <f>D33</f>
        <v>9903813.6552049182</v>
      </c>
      <c r="F33" s="437">
        <f>E33</f>
        <v>9903813.6552049182</v>
      </c>
      <c r="G33" s="437">
        <f>F33</f>
        <v>9903813.6552049182</v>
      </c>
      <c r="H33" s="584">
        <f>'CA COSTOS'!D129*'CA COSTOS'!D125</f>
        <v>48929400</v>
      </c>
      <c r="U33" s="3"/>
      <c r="V33" s="3"/>
      <c r="W33" s="3"/>
      <c r="X33" s="3"/>
      <c r="Y33" s="3"/>
      <c r="Z33" s="3"/>
      <c r="AA33" s="3"/>
    </row>
    <row r="34" spans="2:27" ht="12.75" customHeight="1">
      <c r="B34" s="80" t="s">
        <v>450</v>
      </c>
      <c r="C34" s="484">
        <f>C8*'InfoInicial-CálcAux'!G22</f>
        <v>84706.973164556955</v>
      </c>
      <c r="D34" s="484">
        <f t="shared" ref="D34:G34" si="4">C34</f>
        <v>84706.973164556955</v>
      </c>
      <c r="E34" s="484">
        <f t="shared" si="4"/>
        <v>84706.973164556955</v>
      </c>
      <c r="F34" s="484">
        <f t="shared" si="4"/>
        <v>84706.973164556955</v>
      </c>
      <c r="G34" s="484">
        <f t="shared" si="4"/>
        <v>84706.973164556955</v>
      </c>
      <c r="H34" s="495">
        <f>'CA COSTOS'!G141</f>
        <v>19226.31447208934</v>
      </c>
      <c r="I34" s="153"/>
      <c r="U34" s="3"/>
      <c r="V34" s="3"/>
      <c r="W34" s="3"/>
      <c r="X34" s="3"/>
      <c r="Y34" s="3"/>
      <c r="Z34" s="3"/>
      <c r="AA34" s="3"/>
    </row>
    <row r="35" spans="2:27" ht="12.75" customHeight="1">
      <c r="B35" s="41" t="s">
        <v>513</v>
      </c>
      <c r="C35" s="496"/>
      <c r="D35" s="496"/>
      <c r="E35" s="496"/>
      <c r="F35" s="496"/>
      <c r="G35" s="496"/>
      <c r="H35" s="485"/>
      <c r="I35" s="3"/>
      <c r="U35" s="3"/>
      <c r="V35" s="3"/>
      <c r="W35" s="3"/>
      <c r="X35" s="3"/>
      <c r="Y35" s="3"/>
      <c r="Z35" s="3"/>
      <c r="AA35" s="3"/>
    </row>
    <row r="36" spans="2:27" ht="12.75" customHeight="1">
      <c r="B36" s="81" t="s">
        <v>295</v>
      </c>
      <c r="C36" s="660">
        <f>'CA COSTOS'!D48</f>
        <v>6608511.2300080173</v>
      </c>
      <c r="D36" s="660">
        <f>'CA COSTOS'!D49</f>
        <v>5653948.1929718591</v>
      </c>
      <c r="E36" s="660">
        <f t="shared" ref="E36:E37" si="5">D36</f>
        <v>5653948.1929718591</v>
      </c>
      <c r="F36" s="660">
        <f>'CA COSTOS'!D50</f>
        <v>5653948.1929718591</v>
      </c>
      <c r="G36" s="660">
        <f>F36</f>
        <v>5653948.1929718591</v>
      </c>
      <c r="H36" s="441">
        <v>0</v>
      </c>
      <c r="I36" s="3"/>
      <c r="U36" s="3"/>
      <c r="V36" s="3"/>
      <c r="W36" s="3"/>
      <c r="X36" s="3"/>
      <c r="Y36" s="3"/>
      <c r="Z36" s="3"/>
      <c r="AA36" s="3"/>
    </row>
    <row r="37" spans="2:27" ht="12.75" customHeight="1">
      <c r="B37" s="81" t="s">
        <v>514</v>
      </c>
      <c r="C37" s="440">
        <f>'CA COSTOS'!F146</f>
        <v>13999.328571428568</v>
      </c>
      <c r="D37" s="440">
        <f>'CA COSTOS'!F147</f>
        <v>11977.203333333331</v>
      </c>
      <c r="E37" s="440">
        <f t="shared" si="5"/>
        <v>11977.203333333331</v>
      </c>
      <c r="F37" s="440">
        <f t="shared" ref="F37:G37" si="6">E37</f>
        <v>11977.203333333331</v>
      </c>
      <c r="G37" s="440">
        <f t="shared" si="6"/>
        <v>11977.203333333331</v>
      </c>
      <c r="H37" s="441">
        <v>0</v>
      </c>
      <c r="I37" s="3"/>
      <c r="U37" s="3"/>
      <c r="V37" s="3"/>
      <c r="W37" s="3"/>
      <c r="X37" s="3"/>
      <c r="Y37" s="3"/>
      <c r="Z37" s="3"/>
      <c r="AA37" s="3"/>
    </row>
    <row r="38" spans="2:27" ht="12.75" customHeight="1">
      <c r="B38" s="81" t="s">
        <v>515</v>
      </c>
      <c r="C38" s="440">
        <f>'CA COSTOS'!F150</f>
        <v>536000.04921535728</v>
      </c>
      <c r="D38" s="440">
        <f>'CA COSTOS'!F151</f>
        <v>433463.85988424998</v>
      </c>
      <c r="E38" s="440">
        <f>D38</f>
        <v>433463.85988424998</v>
      </c>
      <c r="F38" s="440">
        <f t="shared" ref="F38" si="7">E38</f>
        <v>433463.85988424998</v>
      </c>
      <c r="G38" s="440">
        <f>F38</f>
        <v>433463.85988424998</v>
      </c>
      <c r="H38" s="441">
        <f>'CA COSTOS'!D153</f>
        <v>2165399.7272481439</v>
      </c>
      <c r="I38" s="3"/>
      <c r="U38" s="3"/>
      <c r="V38" s="3"/>
      <c r="W38" s="3"/>
      <c r="X38" s="3"/>
      <c r="Y38" s="3"/>
      <c r="Z38" s="3"/>
      <c r="AA38" s="3"/>
    </row>
    <row r="39" spans="2:27" ht="12.75" customHeight="1">
      <c r="B39" s="81" t="s">
        <v>525</v>
      </c>
      <c r="C39" s="440">
        <f>'CA COSTOS'!$D$72</f>
        <v>200076.82560248469</v>
      </c>
      <c r="D39" s="440">
        <f>'CA COSTOS'!$D$72</f>
        <v>200076.82560248469</v>
      </c>
      <c r="E39" s="440">
        <f>'CA COSTOS'!$D$72</f>
        <v>200076.82560248469</v>
      </c>
      <c r="F39" s="440">
        <f t="shared" ref="F39:G39" si="8">E39</f>
        <v>200076.82560248469</v>
      </c>
      <c r="G39" s="440">
        <f t="shared" si="8"/>
        <v>200076.82560248469</v>
      </c>
      <c r="H39" s="441">
        <f>'CA COSTOS'!F72</f>
        <v>826.83995569620231</v>
      </c>
      <c r="U39" s="3"/>
      <c r="V39" s="3"/>
      <c r="W39" s="3"/>
      <c r="X39" s="3"/>
      <c r="Y39" s="3"/>
      <c r="Z39" s="3"/>
      <c r="AA39" s="3"/>
    </row>
    <row r="40" spans="2:27" ht="12.75" customHeight="1">
      <c r="B40" s="81" t="s">
        <v>526</v>
      </c>
      <c r="C40" s="440">
        <v>0</v>
      </c>
      <c r="D40" s="440">
        <v>0</v>
      </c>
      <c r="E40" s="440">
        <v>0</v>
      </c>
      <c r="F40" s="440">
        <v>0</v>
      </c>
      <c r="G40" s="440">
        <v>0</v>
      </c>
      <c r="H40" s="441">
        <v>0</v>
      </c>
      <c r="I40" s="3"/>
      <c r="U40" s="3"/>
      <c r="V40" s="3"/>
      <c r="W40" s="3"/>
      <c r="X40" s="3"/>
      <c r="Y40" s="3"/>
      <c r="Z40" s="3"/>
      <c r="AA40" s="3"/>
    </row>
    <row r="41" spans="2:27" ht="12.75" customHeight="1">
      <c r="B41" s="81" t="s">
        <v>401</v>
      </c>
      <c r="C41" s="440">
        <v>0</v>
      </c>
      <c r="D41" s="440">
        <v>0</v>
      </c>
      <c r="E41" s="440">
        <v>0</v>
      </c>
      <c r="F41" s="440">
        <v>0</v>
      </c>
      <c r="G41" s="440">
        <v>0</v>
      </c>
      <c r="H41" s="441">
        <v>0</v>
      </c>
      <c r="I41" s="3"/>
      <c r="U41" s="3"/>
      <c r="V41" s="3"/>
      <c r="W41" s="3"/>
      <c r="X41" s="3"/>
      <c r="Y41" s="3"/>
      <c r="Z41" s="3"/>
      <c r="AA41" s="3"/>
    </row>
    <row r="42" spans="2:27" ht="12.75" customHeight="1">
      <c r="B42" s="81" t="s">
        <v>527</v>
      </c>
      <c r="C42" s="440">
        <v>0</v>
      </c>
      <c r="D42" s="440"/>
      <c r="E42" s="440"/>
      <c r="F42" s="440"/>
      <c r="G42" s="440"/>
      <c r="H42" s="441"/>
      <c r="I42" s="3"/>
      <c r="U42" s="3"/>
      <c r="V42" s="3"/>
      <c r="W42" s="3"/>
      <c r="X42" s="3"/>
      <c r="Y42" s="3"/>
      <c r="Z42" s="3"/>
      <c r="AA42" s="3"/>
    </row>
    <row r="43" spans="2:27" ht="12.75" customHeight="1">
      <c r="B43" s="81" t="s">
        <v>528</v>
      </c>
      <c r="C43" s="440">
        <v>0</v>
      </c>
      <c r="D43" s="440">
        <v>0</v>
      </c>
      <c r="E43" s="440">
        <v>0</v>
      </c>
      <c r="F43" s="440">
        <v>0</v>
      </c>
      <c r="G43" s="440">
        <v>0</v>
      </c>
      <c r="H43" s="441">
        <v>0</v>
      </c>
      <c r="I43" s="3"/>
      <c r="U43" s="3"/>
      <c r="V43" s="3"/>
      <c r="W43" s="3"/>
      <c r="X43" s="3"/>
      <c r="Y43" s="3"/>
      <c r="Z43" s="3"/>
      <c r="AA43" s="3"/>
    </row>
    <row r="44" spans="2:27" ht="12.75" customHeight="1">
      <c r="B44" s="43" t="s">
        <v>529</v>
      </c>
      <c r="C44" s="440">
        <f>SUM(C33:C43)*InfoInicial!$B$14</f>
        <v>867355.40308833821</v>
      </c>
      <c r="D44" s="440">
        <f>SUM(D33:D43)*InfoInicial!$B$14</f>
        <v>814399.33550807007</v>
      </c>
      <c r="E44" s="440">
        <f>SUM(E33:E43)*InfoInicial!$B$14</f>
        <v>814399.33550807007</v>
      </c>
      <c r="F44" s="440">
        <f>SUM(F33:F43)*InfoInicial!$B$14</f>
        <v>814399.33550807007</v>
      </c>
      <c r="G44" s="440">
        <f>SUM(G33:G43)*InfoInicial!$B$14</f>
        <v>814399.33550807007</v>
      </c>
      <c r="H44" s="440">
        <f>SUM(H33:H43)*InfoInicial!$B$14</f>
        <v>2555742.6440837965</v>
      </c>
      <c r="I44" s="239"/>
      <c r="U44" s="3"/>
      <c r="V44" s="3"/>
      <c r="W44" s="3"/>
      <c r="X44" s="3"/>
      <c r="Y44" s="3"/>
      <c r="Z44" s="3"/>
      <c r="AA44" s="3"/>
    </row>
    <row r="45" spans="2:27" ht="12.75" customHeight="1">
      <c r="B45" s="46" t="s">
        <v>530</v>
      </c>
      <c r="C45" s="447">
        <f>SUM(C33:C44)</f>
        <v>18214463.464855101</v>
      </c>
      <c r="D45" s="447">
        <f>SUM(D33:D44)</f>
        <v>17102386.04566947</v>
      </c>
      <c r="E45" s="447">
        <f t="shared" ref="E45:G45" si="9">SUM(E33:E44)</f>
        <v>17102386.04566947</v>
      </c>
      <c r="F45" s="447">
        <f t="shared" si="9"/>
        <v>17102386.04566947</v>
      </c>
      <c r="G45" s="447">
        <f t="shared" si="9"/>
        <v>17102386.04566947</v>
      </c>
      <c r="H45" s="497">
        <f>SUM(H33:H44)</f>
        <v>53670595.525759727</v>
      </c>
      <c r="U45" s="3"/>
      <c r="V45" s="3"/>
      <c r="W45" s="3"/>
      <c r="X45" s="3"/>
      <c r="Y45" s="3"/>
      <c r="Z45" s="3"/>
      <c r="AA45" s="3"/>
    </row>
    <row r="46" spans="2:27" ht="12.75" customHeight="1">
      <c r="B46" s="28"/>
      <c r="C46" s="498">
        <f>C45-C36</f>
        <v>11605952.234847084</v>
      </c>
      <c r="D46" s="498">
        <f>D45-D36</f>
        <v>11448437.852697611</v>
      </c>
      <c r="E46" s="498">
        <f t="shared" ref="E46:G46" si="10">E45-E36</f>
        <v>11448437.852697611</v>
      </c>
      <c r="F46" s="498">
        <f t="shared" si="10"/>
        <v>11448437.852697611</v>
      </c>
      <c r="G46" s="498">
        <f t="shared" si="10"/>
        <v>11448437.852697611</v>
      </c>
      <c r="H46" s="498"/>
      <c r="I46" s="3"/>
      <c r="U46" s="3"/>
      <c r="V46" s="3"/>
      <c r="W46" s="3"/>
      <c r="X46" s="3"/>
      <c r="Y46" s="3"/>
      <c r="Z46" s="3"/>
      <c r="AA46" s="3"/>
    </row>
    <row r="47" spans="2:27" ht="12.75" customHeight="1">
      <c r="B47" s="28"/>
      <c r="C47" s="3"/>
      <c r="D47" s="3"/>
      <c r="E47" s="3"/>
      <c r="F47" s="3"/>
      <c r="G47" s="3"/>
      <c r="H47" s="498"/>
      <c r="I47" s="3"/>
      <c r="U47" s="3"/>
      <c r="V47" s="3"/>
      <c r="W47" s="3"/>
      <c r="X47" s="3"/>
      <c r="Y47" s="3"/>
      <c r="Z47" s="3"/>
      <c r="AA47" s="3"/>
    </row>
    <row r="48" spans="2:27" ht="18" customHeight="1">
      <c r="B48" s="1016" t="s">
        <v>531</v>
      </c>
      <c r="C48" s="1016"/>
      <c r="D48" s="1016"/>
      <c r="E48" s="1016"/>
      <c r="F48" s="1016"/>
      <c r="G48" s="101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2.75" customHeight="1">
      <c r="B49" s="46"/>
      <c r="C49" s="434" t="s">
        <v>2</v>
      </c>
      <c r="D49" s="434" t="s">
        <v>3</v>
      </c>
      <c r="E49" s="434" t="s">
        <v>4</v>
      </c>
      <c r="F49" s="434" t="s">
        <v>5</v>
      </c>
      <c r="G49" s="435" t="s">
        <v>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customHeight="1">
      <c r="B50" s="47" t="s">
        <v>519</v>
      </c>
      <c r="C50" s="437">
        <f>C23</f>
        <v>1373992375.5252616</v>
      </c>
      <c r="D50" s="437">
        <f t="shared" ref="D50:G50" si="11">D23</f>
        <v>1284906880.9152617</v>
      </c>
      <c r="E50" s="437">
        <f t="shared" si="11"/>
        <v>1284906880.9152617</v>
      </c>
      <c r="F50" s="437">
        <f t="shared" si="11"/>
        <v>1284906880.9152617</v>
      </c>
      <c r="G50" s="499">
        <f t="shared" si="11"/>
        <v>1284906880.9152617</v>
      </c>
      <c r="H50" s="49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customHeight="1">
      <c r="B51" s="43" t="s">
        <v>532</v>
      </c>
      <c r="C51" s="440"/>
      <c r="D51" s="440"/>
      <c r="E51" s="440"/>
      <c r="F51" s="440"/>
      <c r="G51" s="499"/>
      <c r="H51" s="49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customHeight="1">
      <c r="B52" s="43" t="s">
        <v>533</v>
      </c>
      <c r="C52" s="440">
        <f>H45</f>
        <v>53670595.525759727</v>
      </c>
      <c r="D52" s="440"/>
      <c r="E52" s="440"/>
      <c r="F52" s="440"/>
      <c r="G52" s="499"/>
      <c r="H52" s="49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customHeight="1">
      <c r="B53" s="43" t="s">
        <v>534</v>
      </c>
      <c r="C53" s="440">
        <f>C45</f>
        <v>18214463.464855101</v>
      </c>
      <c r="D53" s="440">
        <f>D45</f>
        <v>17102386.04566947</v>
      </c>
      <c r="E53" s="440">
        <f t="shared" ref="E53:G53" si="12">E45</f>
        <v>17102386.04566947</v>
      </c>
      <c r="F53" s="440">
        <f>F45</f>
        <v>17102386.04566947</v>
      </c>
      <c r="G53" s="440">
        <f t="shared" si="12"/>
        <v>17102386.04566947</v>
      </c>
      <c r="H53" s="49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customHeight="1">
      <c r="B54" s="43" t="s">
        <v>535</v>
      </c>
      <c r="C54" s="440"/>
      <c r="D54" s="568">
        <f>C53</f>
        <v>18214463.464855101</v>
      </c>
      <c r="E54" s="568">
        <f>D53</f>
        <v>17102386.04566947</v>
      </c>
      <c r="F54" s="568">
        <f>E53</f>
        <v>17102386.04566947</v>
      </c>
      <c r="G54" s="568">
        <f>F53</f>
        <v>17102386.04566947</v>
      </c>
      <c r="H54" s="50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customHeight="1">
      <c r="B55" s="42" t="s">
        <v>536</v>
      </c>
      <c r="C55" s="440">
        <f>C50-C52-(C53-C54)</f>
        <v>1302107316.5346467</v>
      </c>
      <c r="D55" s="440">
        <f>D50-D52-(D53-D54)</f>
        <v>1286018958.3344474</v>
      </c>
      <c r="E55" s="440">
        <f>E50-E52-(E53-E54)</f>
        <v>1284906880.9152617</v>
      </c>
      <c r="F55" s="440">
        <f>F50-F52-(F53-F54)</f>
        <v>1284906880.9152617</v>
      </c>
      <c r="G55" s="440">
        <f>G50-G52-(G53-G54)</f>
        <v>1284906880.9152617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customHeight="1">
      <c r="B56" s="84" t="s">
        <v>537</v>
      </c>
      <c r="C56" s="583">
        <f>C55/'InfoInicial-CálcAux'!L14</f>
        <v>805.26117287238515</v>
      </c>
      <c r="D56" s="583">
        <f>D55/'InfoInicial-CálcAux'!$M$14</f>
        <v>680.43331128806744</v>
      </c>
      <c r="E56" s="583">
        <f>E55/'InfoInicial-CálcAux'!$M$14</f>
        <v>679.84491053717556</v>
      </c>
      <c r="F56" s="583">
        <f>F55/'InfoInicial-CálcAux'!$M$14</f>
        <v>679.84491053717556</v>
      </c>
      <c r="G56" s="583">
        <f>G55/'InfoInicial-CálcAux'!$M$14</f>
        <v>679.84491053717556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customHeight="1">
      <c r="B57" s="84"/>
      <c r="C57" s="501"/>
      <c r="D57" s="501"/>
      <c r="E57" s="501"/>
      <c r="F57" s="501"/>
      <c r="G57" s="499"/>
      <c r="H57" s="50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customHeight="1">
      <c r="B58" s="84" t="s">
        <v>520</v>
      </c>
      <c r="C58" s="503">
        <f>C25</f>
        <v>5.2128284461327681E-2</v>
      </c>
      <c r="D58" s="503">
        <f>D50*D25/D55</f>
        <v>5.569425313281378E-2</v>
      </c>
      <c r="E58" s="503">
        <f>E50*E25/E55</f>
        <v>5.5742456097719134E-2</v>
      </c>
      <c r="F58" s="503">
        <f>F50*F25/F55</f>
        <v>5.5742456097719134E-2</v>
      </c>
      <c r="G58" s="503">
        <f>G50*G25/G55</f>
        <v>5.5742456097719134E-2</v>
      </c>
      <c r="H58" s="504" t="e">
        <f>((C50*C25)-C36-C37-C42-J49-'CA COSTOS'!#REF!)/C55</f>
        <v>#REF!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customHeight="1">
      <c r="B59" s="46" t="s">
        <v>521</v>
      </c>
      <c r="C59" s="505">
        <f t="shared" ref="C59" si="13">C26</f>
        <v>0.94787171553867233</v>
      </c>
      <c r="D59" s="505">
        <f>D50*D26/D55</f>
        <v>0.94344100267972419</v>
      </c>
      <c r="E59" s="505">
        <f>E50*E26/E55</f>
        <v>0.94425754390228089</v>
      </c>
      <c r="F59" s="505">
        <f>F50*F26/F55</f>
        <v>0.94425754390228089</v>
      </c>
      <c r="G59" s="505">
        <f>G50*G26/G55</f>
        <v>0.94425754390228089</v>
      </c>
      <c r="H59" s="504">
        <f>((C50*C26)-C33-C34-C38-C40-C44-J48-'CA COSTOS'!E69)/C55</f>
        <v>0.9854074570652509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customHeight="1">
      <c r="B61" s="3"/>
      <c r="C61" s="50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5.75">
      <c r="B62" s="1018" t="s">
        <v>538</v>
      </c>
      <c r="C62" s="1019"/>
      <c r="D62" s="1019"/>
      <c r="E62" s="1019"/>
      <c r="F62" s="1019"/>
      <c r="G62" s="102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2.75" customHeight="1">
      <c r="B63" s="86" t="s">
        <v>444</v>
      </c>
      <c r="C63" s="434" t="s">
        <v>2</v>
      </c>
      <c r="D63" s="434" t="s">
        <v>3</v>
      </c>
      <c r="E63" s="434" t="s">
        <v>4</v>
      </c>
      <c r="F63" s="434" t="s">
        <v>5</v>
      </c>
      <c r="G63" s="435" t="s">
        <v>6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customHeight="1">
      <c r="B64" s="85" t="s">
        <v>267</v>
      </c>
      <c r="C64" s="507">
        <f>'CA COSTOS'!G16+'CA COSTOS'!G18</f>
        <v>553467.19999999995</v>
      </c>
      <c r="D64" s="507">
        <f>C64</f>
        <v>553467.19999999995</v>
      </c>
      <c r="E64" s="507">
        <f>C64</f>
        <v>553467.19999999995</v>
      </c>
      <c r="F64" s="507">
        <f>C64</f>
        <v>553467.19999999995</v>
      </c>
      <c r="G64" s="507">
        <f>C64</f>
        <v>553467.19999999995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customHeight="1">
      <c r="B65" s="43" t="s">
        <v>539</v>
      </c>
      <c r="C65" s="440">
        <f>'CA COSTOS'!$L$35</f>
        <v>1712395.2767706551</v>
      </c>
      <c r="D65" s="440">
        <f>'CA COSTOS'!$L$35</f>
        <v>1712395.2767706551</v>
      </c>
      <c r="E65" s="440">
        <f>'CA COSTOS'!$L$35</f>
        <v>1712395.2767706551</v>
      </c>
      <c r="F65" s="440">
        <f>'CA COSTOS'!$L$35</f>
        <v>1712395.2767706551</v>
      </c>
      <c r="G65" s="440">
        <f>'CA COSTOS'!$L$35</f>
        <v>1712395.2767706551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customHeight="1">
      <c r="B66" s="43" t="s">
        <v>515</v>
      </c>
      <c r="C66" s="440">
        <f>'CA COSTOS'!F89</f>
        <v>1146444.5497106251</v>
      </c>
      <c r="D66" s="440">
        <f>'CA COSTOS'!G89</f>
        <v>1083659.6497106252</v>
      </c>
      <c r="E66" s="440">
        <f>'CA COSTOS'!H89</f>
        <v>1083659.6497106252</v>
      </c>
      <c r="F66" s="440">
        <f>'CA COSTOS'!I89</f>
        <v>1083659.6497106252</v>
      </c>
      <c r="G66" s="440">
        <f>'CA COSTOS'!J89</f>
        <v>1083659.6497106252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customHeight="1">
      <c r="B67" s="43" t="s">
        <v>540</v>
      </c>
      <c r="C67" s="440">
        <f>'CA COSTOS'!$D$71</f>
        <v>207974.59503416176</v>
      </c>
      <c r="D67" s="440">
        <f>'CA COSTOS'!$D$71</f>
        <v>207974.59503416176</v>
      </c>
      <c r="E67" s="440">
        <f>'CA COSTOS'!$D$71</f>
        <v>207974.59503416176</v>
      </c>
      <c r="F67" s="440">
        <f>'CA COSTOS'!$D$71</f>
        <v>207974.59503416176</v>
      </c>
      <c r="G67" s="440">
        <f>'CA COSTOS'!$D$71</f>
        <v>207974.59503416176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customHeight="1">
      <c r="B68" s="43" t="s">
        <v>541</v>
      </c>
      <c r="C68" s="440">
        <v>0</v>
      </c>
      <c r="D68" s="440">
        <v>0</v>
      </c>
      <c r="E68" s="440">
        <v>0</v>
      </c>
      <c r="F68" s="440">
        <v>0</v>
      </c>
      <c r="G68" s="441">
        <v>0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customHeight="1">
      <c r="B69" s="45" t="s">
        <v>401</v>
      </c>
      <c r="C69" s="440">
        <f>'CA COSTOS'!C96*12*2</f>
        <v>206400</v>
      </c>
      <c r="D69" s="440">
        <f>'CA COSTOS'!C96*12*2</f>
        <v>206400</v>
      </c>
      <c r="E69" s="440">
        <f>'CA COSTOS'!C96*12*2</f>
        <v>206400</v>
      </c>
      <c r="F69" s="440">
        <f>'CA COSTOS'!C96*12*2</f>
        <v>206400</v>
      </c>
      <c r="G69" s="440">
        <f>'CA COSTOS'!C96*12*2</f>
        <v>206400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customHeight="1">
      <c r="B70" s="43" t="s">
        <v>405</v>
      </c>
      <c r="C70" s="440">
        <f>'CA COSTOS'!D100</f>
        <v>2453220</v>
      </c>
      <c r="D70" s="440">
        <f>'CA COSTOS'!D100</f>
        <v>2453220</v>
      </c>
      <c r="E70" s="440">
        <f>'CA COSTOS'!D100</f>
        <v>2453220</v>
      </c>
      <c r="F70" s="440">
        <f>'CA COSTOS'!D100</f>
        <v>2453220</v>
      </c>
      <c r="G70" s="441">
        <f>'CA COSTOS'!D100</f>
        <v>2453220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customHeight="1">
      <c r="B71" s="43" t="s">
        <v>542</v>
      </c>
      <c r="C71" s="440">
        <v>0</v>
      </c>
      <c r="D71" s="440">
        <v>0</v>
      </c>
      <c r="E71" s="440">
        <v>0</v>
      </c>
      <c r="F71" s="440">
        <v>0</v>
      </c>
      <c r="G71" s="440">
        <v>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customHeight="1">
      <c r="B72" s="87" t="s">
        <v>518</v>
      </c>
      <c r="C72" s="440"/>
      <c r="D72" s="440"/>
      <c r="E72" s="440"/>
      <c r="F72" s="440"/>
      <c r="G72" s="44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customHeight="1">
      <c r="B73" s="87" t="s">
        <v>518</v>
      </c>
      <c r="C73" s="440"/>
      <c r="D73" s="440"/>
      <c r="E73" s="440"/>
      <c r="F73" s="440"/>
      <c r="G73" s="44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customHeight="1">
      <c r="B74" s="87" t="s">
        <v>518</v>
      </c>
      <c r="C74" s="440"/>
      <c r="D74" s="440"/>
      <c r="E74" s="440"/>
      <c r="F74" s="440"/>
      <c r="G74" s="44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customHeight="1">
      <c r="B75" s="43" t="s">
        <v>76</v>
      </c>
      <c r="C75" s="440">
        <f>SUM(C64:C74)*InfoInicial!$B$14</f>
        <v>313995.08107577212</v>
      </c>
      <c r="D75" s="440">
        <f>SUM(D64:D74)*InfoInicial!$B$14</f>
        <v>310855.83607577212</v>
      </c>
      <c r="E75" s="440">
        <f>SUM(E64:E74)*InfoInicial!$B$14</f>
        <v>310855.83607577212</v>
      </c>
      <c r="F75" s="440">
        <f>SUM(F64:F74)*InfoInicial!$B$14</f>
        <v>310855.83607577212</v>
      </c>
      <c r="G75" s="440">
        <f>SUM(G64:G74)*InfoInicial!$B$14</f>
        <v>310855.83607577212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customHeight="1">
      <c r="B76" s="43"/>
      <c r="C76" s="442"/>
      <c r="D76" s="442"/>
      <c r="E76" s="442"/>
      <c r="F76" s="442"/>
      <c r="G76" s="44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customHeight="1">
      <c r="B77" s="42" t="s">
        <v>543</v>
      </c>
      <c r="C77" s="440">
        <f t="shared" ref="C77:G77" si="14">SUM(C64:C75)</f>
        <v>6593896.7025912134</v>
      </c>
      <c r="D77" s="440">
        <f t="shared" si="14"/>
        <v>6527972.5575912148</v>
      </c>
      <c r="E77" s="440">
        <f t="shared" si="14"/>
        <v>6527972.5575912148</v>
      </c>
      <c r="F77" s="440">
        <f t="shared" si="14"/>
        <v>6527972.5575912148</v>
      </c>
      <c r="G77" s="440">
        <f t="shared" si="14"/>
        <v>6527972.5575912148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customHeight="1">
      <c r="B78" s="42"/>
      <c r="C78" s="440"/>
      <c r="D78" s="440"/>
      <c r="E78" s="440"/>
      <c r="F78" s="440"/>
      <c r="G78" s="441"/>
      <c r="H78" s="49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customHeight="1">
      <c r="B79" s="84" t="s">
        <v>520</v>
      </c>
      <c r="C79" s="508">
        <f>SUM(C64:C66,C69:C71,C75,'CA COSTOS'!$F71)/C77</f>
        <v>0.96858987545592412</v>
      </c>
      <c r="D79" s="508">
        <f>SUM(D64:D66,D69:D71,D75,'CA COSTOS'!$F71)/D77</f>
        <v>0.96827267350897295</v>
      </c>
      <c r="E79" s="508">
        <f>SUM(E64:E66,E69:E71,E75,'CA COSTOS'!$F71)/E77</f>
        <v>0.96827267350897295</v>
      </c>
      <c r="F79" s="508">
        <f>SUM(F64:F66,F69:F71,F75,'CA COSTOS'!$F71)/F77</f>
        <v>0.96827267350897295</v>
      </c>
      <c r="G79" s="508">
        <f>SUM(G64:G66,G69:G71,G75,'CA COSTOS'!$F71)/G77</f>
        <v>0.96827267350897295</v>
      </c>
      <c r="H79" s="49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customHeight="1">
      <c r="B80" s="46" t="s">
        <v>521</v>
      </c>
      <c r="C80" s="509">
        <f>SUM(C68,'CA COSTOS'!$E$71)/C77</f>
        <v>3.1410124544075949E-2</v>
      </c>
      <c r="D80" s="509">
        <f>SUM(D68,'CA COSTOS'!$E$71)/D77</f>
        <v>3.1727326491027108E-2</v>
      </c>
      <c r="E80" s="509">
        <f>SUM(E68,'CA COSTOS'!$E$71)/E77</f>
        <v>3.1727326491027108E-2</v>
      </c>
      <c r="F80" s="509">
        <f>SUM(F68,'CA COSTOS'!$E$71)/F77</f>
        <v>3.1727326491027108E-2</v>
      </c>
      <c r="G80" s="509">
        <f>SUM(G68,'CA COSTOS'!$E$71)/G77</f>
        <v>3.1727326491027108E-2</v>
      </c>
      <c r="H80" s="49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customHeight="1">
      <c r="B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23.25" customHeight="1">
      <c r="B83" s="1018" t="s">
        <v>544</v>
      </c>
      <c r="C83" s="1019"/>
      <c r="D83" s="1019"/>
      <c r="E83" s="1019"/>
      <c r="F83" s="1019"/>
      <c r="G83" s="1020"/>
      <c r="I83" s="3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2.75" customHeight="1">
      <c r="B84" s="86" t="s">
        <v>444</v>
      </c>
      <c r="C84" s="434" t="s">
        <v>2</v>
      </c>
      <c r="D84" s="434" t="s">
        <v>3</v>
      </c>
      <c r="E84" s="434" t="s">
        <v>4</v>
      </c>
      <c r="F84" s="434" t="s">
        <v>5</v>
      </c>
      <c r="G84" s="435" t="s">
        <v>6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customHeight="1">
      <c r="B85" s="41" t="s">
        <v>545</v>
      </c>
      <c r="C85" s="437">
        <f>'CA COSTOS'!$G$17+'CA COSTOS'!$G$23+(C114*0.03)</f>
        <v>50313309.579999998</v>
      </c>
      <c r="D85" s="437">
        <f>'CA COSTOS'!$G$17+'CA COSTOS'!$G$23+(D114*0.03)</f>
        <v>69874809.579999998</v>
      </c>
      <c r="E85" s="437">
        <f>'CA COSTOS'!$G$17+'CA COSTOS'!$G$23+(E114*0.03)</f>
        <v>69874809.579999998</v>
      </c>
      <c r="F85" s="437">
        <f>'CA COSTOS'!$G$17+'CA COSTOS'!$G$23+(F114*0.03)</f>
        <v>69874809.579999998</v>
      </c>
      <c r="G85" s="437">
        <f>'CA COSTOS'!$G$17+'CA COSTOS'!$G$23+(G114*0.03)</f>
        <v>69874809.579999998</v>
      </c>
      <c r="H85" t="s">
        <v>546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customHeight="1">
      <c r="B86" s="43" t="s">
        <v>539</v>
      </c>
      <c r="C86" s="440">
        <f>'CA COSTOS'!$O$35</f>
        <v>1712395.2767706551</v>
      </c>
      <c r="D86" s="440">
        <f>'CA COSTOS'!$O$35</f>
        <v>1712395.2767706551</v>
      </c>
      <c r="E86" s="440">
        <f>'CA COSTOS'!$O$35</f>
        <v>1712395.2767706551</v>
      </c>
      <c r="F86" s="440">
        <f>'CA COSTOS'!$O$35</f>
        <v>1712395.2767706551</v>
      </c>
      <c r="G86" s="440">
        <f>'CA COSTOS'!$O$35</f>
        <v>1712395.2767706551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customHeight="1">
      <c r="B87" s="43" t="s">
        <v>515</v>
      </c>
      <c r="C87" s="440">
        <f>'CA COSTOS'!F88</f>
        <v>1146444.5497106251</v>
      </c>
      <c r="D87" s="440">
        <f>'CA COSTOS'!G88</f>
        <v>1083659.6497106252</v>
      </c>
      <c r="E87" s="440">
        <f>'CA COSTOS'!H88</f>
        <v>1083659.6497106252</v>
      </c>
      <c r="F87" s="440">
        <f>'CA COSTOS'!I88</f>
        <v>1083659.6497106252</v>
      </c>
      <c r="G87" s="440">
        <f>'CA COSTOS'!J88</f>
        <v>1083659.6497106252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customHeight="1">
      <c r="B88" s="43" t="s">
        <v>541</v>
      </c>
      <c r="C88" s="440">
        <v>0</v>
      </c>
      <c r="D88" s="440">
        <v>0</v>
      </c>
      <c r="E88" s="440">
        <v>0</v>
      </c>
      <c r="F88" s="440">
        <v>0</v>
      </c>
      <c r="G88" s="441">
        <v>0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customHeight="1">
      <c r="B89" s="45" t="s">
        <v>401</v>
      </c>
      <c r="C89" s="440">
        <f>'CA COSTOS'!C96*12*3</f>
        <v>309600</v>
      </c>
      <c r="D89" s="440">
        <f>'CA COSTOS'!C96*12*3</f>
        <v>309600</v>
      </c>
      <c r="E89" s="440">
        <f>'CA COSTOS'!C96*12*3</f>
        <v>309600</v>
      </c>
      <c r="F89" s="440">
        <f>'CA COSTOS'!C96*12*3</f>
        <v>309600</v>
      </c>
      <c r="G89" s="440">
        <f>'CA COSTOS'!C96*12*3</f>
        <v>309600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customHeight="1">
      <c r="B90" s="43" t="s">
        <v>547</v>
      </c>
      <c r="C90" s="440">
        <f>'CA COSTOS'!$D$109</f>
        <v>1022210</v>
      </c>
      <c r="D90" s="440">
        <f>'CA COSTOS'!$D$109</f>
        <v>1022210</v>
      </c>
      <c r="E90" s="440">
        <f>'CA COSTOS'!$D$109</f>
        <v>1022210</v>
      </c>
      <c r="F90" s="440">
        <f>'CA COSTOS'!$D$109</f>
        <v>1022210</v>
      </c>
      <c r="G90" s="440">
        <f>'CA COSTOS'!$D$109</f>
        <v>1022210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customHeight="1">
      <c r="B91" s="43" t="s">
        <v>548</v>
      </c>
      <c r="C91" s="440">
        <f>'CA COSTOS'!$E$180</f>
        <v>2736000</v>
      </c>
      <c r="D91" s="440">
        <f>'CA COSTOS'!$E$180</f>
        <v>2736000</v>
      </c>
      <c r="E91" s="440">
        <f>'CA COSTOS'!$E$180</f>
        <v>2736000</v>
      </c>
      <c r="F91" s="440">
        <f>'CA COSTOS'!$E$180</f>
        <v>2736000</v>
      </c>
      <c r="G91" s="440">
        <f>'CA COSTOS'!$E$180</f>
        <v>2736000</v>
      </c>
      <c r="H91" t="s">
        <v>549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customHeight="1">
      <c r="B92" s="43" t="s">
        <v>405</v>
      </c>
      <c r="C92" s="440">
        <v>0</v>
      </c>
      <c r="D92" s="440">
        <v>0</v>
      </c>
      <c r="E92" s="440">
        <v>0</v>
      </c>
      <c r="F92" s="440">
        <v>0</v>
      </c>
      <c r="G92" s="441">
        <v>0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customHeight="1">
      <c r="B93" s="87" t="s">
        <v>550</v>
      </c>
      <c r="C93" s="440">
        <f>'CA COSTOS'!$D$70</f>
        <v>207974.59503416176</v>
      </c>
      <c r="D93" s="440">
        <f>'CA COSTOS'!$D$70</f>
        <v>207974.59503416176</v>
      </c>
      <c r="E93" s="440">
        <f>'CA COSTOS'!$D$70</f>
        <v>207974.59503416176</v>
      </c>
      <c r="F93" s="440">
        <f>'CA COSTOS'!$D$70</f>
        <v>207974.59503416176</v>
      </c>
      <c r="G93" s="440">
        <f>'CA COSTOS'!$D$70</f>
        <v>207974.59503416176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customHeight="1">
      <c r="B94" s="87" t="s">
        <v>518</v>
      </c>
      <c r="C94" s="440"/>
      <c r="D94" s="440"/>
      <c r="E94" s="440"/>
      <c r="F94" s="440"/>
      <c r="G94" s="44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customHeight="1">
      <c r="B95" s="87" t="s">
        <v>518</v>
      </c>
      <c r="C95" s="440"/>
      <c r="D95" s="440"/>
      <c r="E95" s="440"/>
      <c r="F95" s="440"/>
      <c r="G95" s="44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customHeight="1">
      <c r="B96" s="43" t="s">
        <v>76</v>
      </c>
      <c r="C96" s="440">
        <f>SUM(C85:C95)*InfoInicial!$B$14</f>
        <v>2872396.7000757717</v>
      </c>
      <c r="D96" s="440">
        <f>SUM(D85:D95)*InfoInicial!$B$14</f>
        <v>3847332.4550757725</v>
      </c>
      <c r="E96" s="440">
        <f>SUM(E85:E95)*InfoInicial!$B$14</f>
        <v>3847332.4550757725</v>
      </c>
      <c r="F96" s="440">
        <f>SUM(F85:F95)*InfoInicial!$B$14</f>
        <v>3847332.4550757725</v>
      </c>
      <c r="G96" s="440">
        <f>SUM(G85:G95)*InfoInicial!$B$14</f>
        <v>3847332.4550757725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>
      <c r="B97" s="43"/>
      <c r="C97" s="442"/>
      <c r="D97" s="442"/>
      <c r="E97" s="442"/>
      <c r="F97" s="442"/>
      <c r="G97" s="44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>
      <c r="B98" s="42" t="s">
        <v>551</v>
      </c>
      <c r="C98" s="440">
        <f>SUM(C85:C96)</f>
        <v>60320330.701591209</v>
      </c>
      <c r="D98" s="440">
        <f>SUM(D85:D96)</f>
        <v>80793981.556591213</v>
      </c>
      <c r="E98" s="440">
        <f>SUM(E85:E96)</f>
        <v>80793981.556591213</v>
      </c>
      <c r="F98" s="440">
        <f>SUM(F85:F96)</f>
        <v>80793981.556591213</v>
      </c>
      <c r="G98" s="440">
        <f>SUM(G85:G96)</f>
        <v>80793981.556591213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>
      <c r="B99" s="42"/>
      <c r="C99" s="440"/>
      <c r="D99" s="440"/>
      <c r="E99" s="440"/>
      <c r="F99" s="440"/>
      <c r="G99" s="44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>
      <c r="B100" s="84" t="s">
        <v>520</v>
      </c>
      <c r="C100" s="510">
        <f>(C85+C86+C87+C89+C90+C92+C93)/C98</f>
        <v>0.90702311086752996</v>
      </c>
      <c r="D100" s="510">
        <f t="shared" ref="D100:G100" si="15">(D85+D86+D87+D89+D90+D92+D93)/D98</f>
        <v>0.9185170438658905</v>
      </c>
      <c r="E100" s="510">
        <f t="shared" si="15"/>
        <v>0.9185170438658905</v>
      </c>
      <c r="F100" s="510">
        <f t="shared" si="15"/>
        <v>0.9185170438658905</v>
      </c>
      <c r="G100" s="510">
        <f t="shared" si="15"/>
        <v>0.9185170438658905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>
      <c r="B101" s="46" t="s">
        <v>521</v>
      </c>
      <c r="C101" s="511">
        <f>(C88+C91+C96)/C98</f>
        <v>9.2976889132469986E-2</v>
      </c>
      <c r="D101" s="511">
        <f t="shared" ref="D101:G101" si="16">(D88+D91+D96)/D98</f>
        <v>8.1482956134109483E-2</v>
      </c>
      <c r="E101" s="511">
        <f t="shared" si="16"/>
        <v>8.1482956134109483E-2</v>
      </c>
      <c r="F101" s="511">
        <f t="shared" si="16"/>
        <v>8.1482956134109483E-2</v>
      </c>
      <c r="G101" s="511">
        <f t="shared" si="16"/>
        <v>8.1482956134109483E-2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>
      <c r="B103" s="180"/>
      <c r="C103" s="180"/>
      <c r="D103" s="180"/>
      <c r="E103" s="180"/>
      <c r="F103" s="180"/>
      <c r="G103" s="18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2.5" customHeight="1">
      <c r="A104" s="159"/>
      <c r="B104" s="1018" t="s">
        <v>552</v>
      </c>
      <c r="C104" s="1019"/>
      <c r="D104" s="1019"/>
      <c r="E104" s="1019"/>
      <c r="F104" s="1019"/>
      <c r="G104" s="1020"/>
      <c r="H104" s="18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>
      <c r="B105" s="237"/>
      <c r="C105" s="512" t="s">
        <v>2</v>
      </c>
      <c r="D105" s="512" t="s">
        <v>3</v>
      </c>
      <c r="E105" s="512" t="s">
        <v>4</v>
      </c>
      <c r="F105" s="512" t="s">
        <v>5</v>
      </c>
      <c r="G105" s="513" t="s">
        <v>6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>
      <c r="B106" s="88" t="s">
        <v>553</v>
      </c>
      <c r="C106" s="514">
        <f>'InfoInicial-CálcAux'!K5</f>
        <v>540000</v>
      </c>
      <c r="D106" s="514">
        <f>'InfoInicial-CálcAux'!L5</f>
        <v>756000</v>
      </c>
      <c r="E106" s="514">
        <f>'InfoInicial-CálcAux'!M5</f>
        <v>756000</v>
      </c>
      <c r="F106" s="514">
        <f>'InfoInicial-CálcAux'!N5</f>
        <v>756000</v>
      </c>
      <c r="G106" s="514">
        <f>'InfoInicial-CálcAux'!O5</f>
        <v>756000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>
      <c r="B107" s="89" t="s">
        <v>554</v>
      </c>
      <c r="C107" s="515">
        <f>'InfoInicial-CálcAux'!C8*2.5</f>
        <v>3018.75</v>
      </c>
      <c r="D107" s="515">
        <f>C107</f>
        <v>3018.75</v>
      </c>
      <c r="E107" s="515">
        <f>D107</f>
        <v>3018.75</v>
      </c>
      <c r="F107" s="515">
        <f t="shared" ref="F107:G107" si="17">E107</f>
        <v>3018.75</v>
      </c>
      <c r="G107" s="516">
        <f t="shared" si="17"/>
        <v>3018.75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>
      <c r="B108" s="89" t="s">
        <v>555</v>
      </c>
      <c r="C108" s="517">
        <v>0</v>
      </c>
      <c r="D108" s="517">
        <v>0</v>
      </c>
      <c r="E108" s="517">
        <v>0</v>
      </c>
      <c r="F108" s="517">
        <v>0</v>
      </c>
      <c r="G108" s="518"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>
      <c r="B109" s="89" t="s">
        <v>556</v>
      </c>
      <c r="C109" s="519">
        <v>0</v>
      </c>
      <c r="D109" s="519">
        <v>0</v>
      </c>
      <c r="E109" s="519">
        <v>0</v>
      </c>
      <c r="F109" s="519">
        <v>0</v>
      </c>
      <c r="G109" s="520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>
      <c r="B110" s="89" t="s">
        <v>557</v>
      </c>
      <c r="C110" s="521">
        <f>'CA COSTOS'!H117</f>
        <v>0</v>
      </c>
      <c r="D110" s="521">
        <f>'CA COSTOS'!$H121</f>
        <v>0</v>
      </c>
      <c r="E110" s="521">
        <f>'CA COSTOS'!$H121</f>
        <v>0</v>
      </c>
      <c r="F110" s="521">
        <f>'CA COSTOS'!$H121</f>
        <v>0</v>
      </c>
      <c r="G110" s="522">
        <f>'CA COSTOS'!$H121</f>
        <v>0</v>
      </c>
      <c r="H110" s="3"/>
      <c r="I110" s="3"/>
      <c r="J110" s="9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>
      <c r="B111" s="89" t="s">
        <v>558</v>
      </c>
      <c r="C111" s="519">
        <f>'CA COSTOS'!$G117</f>
        <v>0</v>
      </c>
      <c r="D111" s="519">
        <f>'CA COSTOS'!$G117</f>
        <v>0</v>
      </c>
      <c r="E111" s="519">
        <f>'CA COSTOS'!$G117</f>
        <v>0</v>
      </c>
      <c r="F111" s="519">
        <f>'CA COSTOS'!$G117</f>
        <v>0</v>
      </c>
      <c r="G111" s="520">
        <f>'CA COSTOS'!$G117</f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>
      <c r="B112" s="91" t="s">
        <v>559</v>
      </c>
      <c r="D112" s="925"/>
      <c r="E112" s="925"/>
      <c r="F112" s="925"/>
      <c r="G112" s="92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customHeight="1">
      <c r="B113" s="91" t="s">
        <v>559</v>
      </c>
      <c r="C113" s="925"/>
      <c r="D113" s="925"/>
      <c r="E113" s="925"/>
      <c r="F113" s="925"/>
      <c r="G113" s="92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customHeight="1">
      <c r="B114" s="92" t="s">
        <v>560</v>
      </c>
      <c r="C114" s="519">
        <f>(C106*C107)+(C110*C111)</f>
        <v>1630125000</v>
      </c>
      <c r="D114" s="519">
        <f t="shared" ref="D114:G114" si="18">(D106*D107)+(D110*D111)</f>
        <v>2282175000</v>
      </c>
      <c r="E114" s="519">
        <f t="shared" si="18"/>
        <v>2282175000</v>
      </c>
      <c r="F114" s="519">
        <f t="shared" si="18"/>
        <v>2282175000</v>
      </c>
      <c r="G114" s="520">
        <f t="shared" si="18"/>
        <v>2282175000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customHeight="1">
      <c r="B115" s="89"/>
      <c r="C115" s="519"/>
      <c r="D115" s="519"/>
      <c r="E115" s="519"/>
      <c r="F115" s="519"/>
      <c r="G115" s="52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customHeight="1">
      <c r="B116" s="89" t="s">
        <v>561</v>
      </c>
      <c r="C116" s="440">
        <f>C7</f>
        <v>1205088000</v>
      </c>
      <c r="D116" s="440">
        <f t="shared" ref="D116:G116" si="19">D7</f>
        <v>1121374800</v>
      </c>
      <c r="E116" s="440">
        <f t="shared" si="19"/>
        <v>1121374800</v>
      </c>
      <c r="F116" s="440">
        <f t="shared" si="19"/>
        <v>1121374800</v>
      </c>
      <c r="G116" s="523">
        <f t="shared" si="19"/>
        <v>1121374800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customHeight="1">
      <c r="B117" s="89" t="s">
        <v>450</v>
      </c>
      <c r="C117" s="440">
        <f t="shared" ref="C117:G117" si="20">C8</f>
        <v>3345925.44</v>
      </c>
      <c r="D117" s="440">
        <f t="shared" si="20"/>
        <v>3345925.44</v>
      </c>
      <c r="E117" s="440">
        <f t="shared" si="20"/>
        <v>3345925.44</v>
      </c>
      <c r="F117" s="440">
        <f t="shared" si="20"/>
        <v>3345925.44</v>
      </c>
      <c r="G117" s="523">
        <f t="shared" si="20"/>
        <v>3345925.44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customHeight="1">
      <c r="B118" s="89" t="s">
        <v>562</v>
      </c>
      <c r="C118" s="440">
        <f>SUM(C10:C22)</f>
        <v>165558450.0852614</v>
      </c>
      <c r="D118" s="440">
        <f t="shared" ref="D118:G118" si="21">SUM(D10:D22)</f>
        <v>160186155.47526139</v>
      </c>
      <c r="E118" s="440">
        <f t="shared" si="21"/>
        <v>160186155.47526139</v>
      </c>
      <c r="F118" s="440">
        <f t="shared" si="21"/>
        <v>160186155.47526139</v>
      </c>
      <c r="G118" s="523">
        <f t="shared" si="21"/>
        <v>160186155.47526139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customHeight="1">
      <c r="B119" s="89"/>
      <c r="C119" s="440"/>
      <c r="D119" s="440"/>
      <c r="E119" s="440"/>
      <c r="F119" s="440"/>
      <c r="G119" s="52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customHeight="1">
      <c r="B120" s="92" t="s">
        <v>563</v>
      </c>
      <c r="C120" s="440">
        <f>SUM(C116:C118)</f>
        <v>1373992375.5252614</v>
      </c>
      <c r="D120" s="440">
        <f>SUM(D116:D118)</f>
        <v>1284906880.9152615</v>
      </c>
      <c r="E120" s="440">
        <f t="shared" ref="E120:G120" si="22">SUM(E116:E118)</f>
        <v>1284906880.9152615</v>
      </c>
      <c r="F120" s="440">
        <f t="shared" si="22"/>
        <v>1284906880.9152615</v>
      </c>
      <c r="G120" s="523">
        <f t="shared" si="22"/>
        <v>1284906880.9152615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customHeight="1">
      <c r="B121" s="89"/>
      <c r="C121" s="440"/>
      <c r="D121" s="440"/>
      <c r="E121" s="440"/>
      <c r="F121" s="440"/>
      <c r="G121" s="52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customHeight="1">
      <c r="B122" s="89" t="s">
        <v>532</v>
      </c>
      <c r="C122" s="440"/>
      <c r="D122" s="440"/>
      <c r="E122" s="440"/>
      <c r="F122" s="440"/>
      <c r="G122" s="52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customHeight="1">
      <c r="B123" s="93" t="s">
        <v>357</v>
      </c>
      <c r="C123" s="440">
        <f>H45</f>
        <v>53670595.525759727</v>
      </c>
      <c r="D123" s="440">
        <v>0</v>
      </c>
      <c r="E123" s="440">
        <v>0</v>
      </c>
      <c r="F123" s="440">
        <v>0</v>
      </c>
      <c r="G123" s="523"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customHeight="1">
      <c r="B124" s="93" t="s">
        <v>564</v>
      </c>
      <c r="C124" s="440">
        <f>C45</f>
        <v>18214463.464855101</v>
      </c>
      <c r="D124" s="440">
        <f t="shared" ref="D124:G124" si="23">D45-C45</f>
        <v>-1112077.419185631</v>
      </c>
      <c r="E124" s="440">
        <f t="shared" si="23"/>
        <v>0</v>
      </c>
      <c r="F124" s="440">
        <f t="shared" si="23"/>
        <v>0</v>
      </c>
      <c r="G124" s="440">
        <f t="shared" si="23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customHeight="1">
      <c r="B125" s="89"/>
      <c r="C125" s="440"/>
      <c r="D125" s="440"/>
      <c r="E125" s="440"/>
      <c r="F125" s="440"/>
      <c r="G125" s="52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customHeight="1">
      <c r="B126" s="92" t="s">
        <v>565</v>
      </c>
      <c r="C126" s="440">
        <f>C120-C123-C124</f>
        <v>1302107316.5346465</v>
      </c>
      <c r="D126" s="440">
        <f>D120-D123-D124</f>
        <v>1286018958.3344471</v>
      </c>
      <c r="E126" s="440">
        <f t="shared" ref="E126:G126" si="24">E120-E123-E124</f>
        <v>1284906880.9152615</v>
      </c>
      <c r="F126" s="440">
        <f t="shared" si="24"/>
        <v>1284906880.9152615</v>
      </c>
      <c r="G126" s="440">
        <f t="shared" si="24"/>
        <v>1284906880.9152615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customHeight="1">
      <c r="B127" s="93" t="s">
        <v>566</v>
      </c>
      <c r="C127" s="524">
        <f>'InfoInicial-CálcAux'!L14</f>
        <v>1617000</v>
      </c>
      <c r="D127" s="524">
        <f>'InfoInicial-CálcAux'!$M$14</f>
        <v>1890000</v>
      </c>
      <c r="E127" s="524">
        <f>'InfoInicial-CálcAux'!$M$14</f>
        <v>1890000</v>
      </c>
      <c r="F127" s="524">
        <f>'InfoInicial-CálcAux'!$M$14</f>
        <v>1890000</v>
      </c>
      <c r="G127" s="524">
        <f>'InfoInicial-CálcAux'!$M$14</f>
        <v>1890000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customHeight="1">
      <c r="B128" s="89" t="s">
        <v>567</v>
      </c>
      <c r="C128" s="440">
        <f>C126/C127</f>
        <v>805.26117287238503</v>
      </c>
      <c r="D128" s="440">
        <f t="shared" ref="D128:G128" si="25">D126/D127</f>
        <v>680.43331128806722</v>
      </c>
      <c r="E128" s="440">
        <f t="shared" si="25"/>
        <v>679.84491053717545</v>
      </c>
      <c r="F128" s="440">
        <f t="shared" si="25"/>
        <v>679.84491053717545</v>
      </c>
      <c r="G128" s="440">
        <f t="shared" si="25"/>
        <v>679.84491053717545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customHeight="1">
      <c r="B129" s="89"/>
      <c r="C129" s="524"/>
      <c r="D129" s="524"/>
      <c r="E129" s="524"/>
      <c r="F129" s="524"/>
      <c r="G129" s="52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customHeight="1">
      <c r="B130" s="89" t="s">
        <v>532</v>
      </c>
      <c r="C130" s="524"/>
      <c r="D130" s="524"/>
      <c r="E130" s="524"/>
      <c r="F130" s="524"/>
      <c r="G130" s="52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customHeight="1">
      <c r="B131" s="89" t="s">
        <v>568</v>
      </c>
      <c r="C131" s="440">
        <f>'CA COSTOS'!M99</f>
        <v>1388447.4194900237</v>
      </c>
      <c r="D131" s="440">
        <f>'CA COSTOS'!N99</f>
        <v>-215230.69550091238</v>
      </c>
      <c r="E131" s="440">
        <f>'CA COSTOS'!O99</f>
        <v>-1014.532342702616</v>
      </c>
      <c r="F131" s="440">
        <f>'CA COSTOS'!P99</f>
        <v>0</v>
      </c>
      <c r="G131" s="440">
        <f>'CA COSTOS'!Q99</f>
        <v>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customHeight="1">
      <c r="B132" s="89"/>
      <c r="C132" s="524"/>
      <c r="D132" s="524"/>
      <c r="E132" s="524"/>
      <c r="F132" s="524"/>
      <c r="G132" s="52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customHeight="1">
      <c r="B133" s="92" t="s">
        <v>569</v>
      </c>
      <c r="C133" s="440">
        <f>C126-C131</f>
        <v>1300718869.1151564</v>
      </c>
      <c r="D133" s="440">
        <f t="shared" ref="D133:G133" si="26">D126-D131</f>
        <v>1286234189.029948</v>
      </c>
      <c r="E133" s="440">
        <f t="shared" si="26"/>
        <v>1284907895.4476042</v>
      </c>
      <c r="F133" s="440">
        <f t="shared" si="26"/>
        <v>1284906880.9152615</v>
      </c>
      <c r="G133" s="440">
        <f t="shared" si="26"/>
        <v>1284906880.9152615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customHeight="1">
      <c r="B134" s="89"/>
      <c r="C134" s="440"/>
      <c r="D134" s="440"/>
      <c r="E134" s="440"/>
      <c r="F134" s="440"/>
      <c r="G134" s="52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customHeight="1">
      <c r="B135" s="92" t="s">
        <v>570</v>
      </c>
      <c r="C135" s="440">
        <f t="shared" ref="C135:G135" si="27">C77</f>
        <v>6593896.7025912134</v>
      </c>
      <c r="D135" s="440">
        <f t="shared" si="27"/>
        <v>6527972.5575912148</v>
      </c>
      <c r="E135" s="440">
        <f t="shared" si="27"/>
        <v>6527972.5575912148</v>
      </c>
      <c r="F135" s="440">
        <f t="shared" si="27"/>
        <v>6527972.5575912148</v>
      </c>
      <c r="G135" s="440">
        <f t="shared" si="27"/>
        <v>6527972.5575912148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customHeight="1">
      <c r="B136" s="92" t="s">
        <v>571</v>
      </c>
      <c r="C136" s="524">
        <f t="shared" ref="C136:G136" si="28">C98</f>
        <v>60320330.701591209</v>
      </c>
      <c r="D136" s="524">
        <f t="shared" si="28"/>
        <v>80793981.556591213</v>
      </c>
      <c r="E136" s="524">
        <f t="shared" si="28"/>
        <v>80793981.556591213</v>
      </c>
      <c r="F136" s="524">
        <f t="shared" si="28"/>
        <v>80793981.556591213</v>
      </c>
      <c r="G136" s="524">
        <f t="shared" si="28"/>
        <v>80793981.556591213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customHeight="1">
      <c r="B137" s="89"/>
      <c r="C137" s="524"/>
      <c r="D137" s="524"/>
      <c r="E137" s="524"/>
      <c r="F137" s="524"/>
      <c r="G137" s="52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customHeight="1">
      <c r="B138" s="92" t="s">
        <v>572</v>
      </c>
      <c r="C138" s="524">
        <f>C133+C135+C136</f>
        <v>1367633096.5193388</v>
      </c>
      <c r="D138" s="524">
        <f t="shared" ref="D138:F138" si="29">D133+D135+D136</f>
        <v>1373556143.1441305</v>
      </c>
      <c r="E138" s="524">
        <f t="shared" si="29"/>
        <v>1372229849.5617867</v>
      </c>
      <c r="F138" s="524">
        <f t="shared" si="29"/>
        <v>1372228835.029444</v>
      </c>
      <c r="G138" s="524">
        <f>G133+G135+G136</f>
        <v>1372228835.029444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customHeight="1">
      <c r="B139" s="89"/>
      <c r="C139" s="524"/>
      <c r="D139" s="524"/>
      <c r="E139" s="524"/>
      <c r="F139" s="524"/>
      <c r="G139" s="52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customHeight="1">
      <c r="B140" s="92" t="s">
        <v>573</v>
      </c>
      <c r="C140" s="524">
        <f>C138/C127</f>
        <v>845.78422790311618</v>
      </c>
      <c r="D140" s="524">
        <f t="shared" ref="D140:G140" si="30">D138/D127</f>
        <v>726.7492820868415</v>
      </c>
      <c r="E140" s="524">
        <f t="shared" si="30"/>
        <v>726.0475394506808</v>
      </c>
      <c r="F140" s="524">
        <f t="shared" si="30"/>
        <v>726.04700266108148</v>
      </c>
      <c r="G140" s="524">
        <f t="shared" si="30"/>
        <v>726.04700266108148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customHeight="1">
      <c r="B141" s="89"/>
      <c r="C141" s="524"/>
      <c r="D141" s="524"/>
      <c r="E141" s="524"/>
      <c r="F141" s="524"/>
      <c r="G141" s="52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customHeight="1">
      <c r="B142" s="92" t="s">
        <v>574</v>
      </c>
      <c r="C142" s="524">
        <f>C114-C138</f>
        <v>262491903.48066115</v>
      </c>
      <c r="D142" s="524">
        <f>D114-D138</f>
        <v>908618856.85586953</v>
      </c>
      <c r="E142" s="524">
        <f t="shared" ref="E142:G142" si="31">E114-E138</f>
        <v>909945150.43821335</v>
      </c>
      <c r="F142" s="524">
        <f t="shared" si="31"/>
        <v>909946164.97055602</v>
      </c>
      <c r="G142" s="524">
        <f t="shared" si="31"/>
        <v>909946164.97055602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customHeight="1">
      <c r="B143" s="92" t="s">
        <v>61</v>
      </c>
      <c r="C143" s="524">
        <f>C142*InfoInicial!$B$5</f>
        <v>18374433.243646283</v>
      </c>
      <c r="D143" s="524">
        <f>D142*InfoInicial!$B$5</f>
        <v>63603319.979910873</v>
      </c>
      <c r="E143" s="524">
        <f>E142*InfoInicial!$B$5</f>
        <v>63696160.530674942</v>
      </c>
      <c r="F143" s="524">
        <f>F142*InfoInicial!$B$5</f>
        <v>63696231.547938928</v>
      </c>
      <c r="G143" s="524">
        <f>G142*InfoInicial!$B$5</f>
        <v>63696231.547938928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customHeight="1">
      <c r="B144" s="94" t="s">
        <v>575</v>
      </c>
      <c r="C144" s="524">
        <f>(C142-C143)*InfoInicial!$B$4</f>
        <v>85441114.582955196</v>
      </c>
      <c r="D144" s="524">
        <f>(D142-D143)*InfoInicial!$B$4</f>
        <v>295755437.90658551</v>
      </c>
      <c r="E144" s="524">
        <f>(E142-E143)*InfoInicial!$B$4</f>
        <v>296187146.46763843</v>
      </c>
      <c r="F144" s="524">
        <f>(F142-F143)*InfoInicial!$B$4</f>
        <v>296187476.69791597</v>
      </c>
      <c r="G144" s="524">
        <f>(G142-G143)*InfoInicial!$B$4</f>
        <v>296187476.69791597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customHeight="1">
      <c r="B145" s="92"/>
      <c r="C145" s="524"/>
      <c r="D145" s="524"/>
      <c r="E145" s="524"/>
      <c r="F145" s="524"/>
      <c r="G145" s="52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customHeight="1">
      <c r="B146" s="94" t="s">
        <v>576</v>
      </c>
      <c r="C146" s="524">
        <f>C142-C143-C144</f>
        <v>158676355.65405965</v>
      </c>
      <c r="D146" s="524">
        <f t="shared" ref="D146:G146" si="32">D142-D143-D144</f>
        <v>549260098.96937323</v>
      </c>
      <c r="E146" s="524">
        <f t="shared" si="32"/>
        <v>550061843.43989992</v>
      </c>
      <c r="F146" s="524">
        <f t="shared" si="32"/>
        <v>550062456.72470117</v>
      </c>
      <c r="G146" s="524">
        <f t="shared" si="32"/>
        <v>550062456.72470117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customHeight="1">
      <c r="B147" s="92" t="s">
        <v>577</v>
      </c>
      <c r="C147" s="526">
        <f>C146/C114</f>
        <v>9.7339992733109212E-2</v>
      </c>
      <c r="D147" s="526">
        <f t="shared" ref="D147:G147" si="33">D146/D114</f>
        <v>0.24067396188696014</v>
      </c>
      <c r="E147" s="526">
        <f t="shared" si="33"/>
        <v>0.24102526907003186</v>
      </c>
      <c r="F147" s="526">
        <f t="shared" si="33"/>
        <v>0.24102553779824124</v>
      </c>
      <c r="G147" s="526">
        <f t="shared" si="33"/>
        <v>0.24102553779824124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customHeight="1">
      <c r="B148" s="92"/>
      <c r="C148" s="526"/>
      <c r="D148" s="526"/>
      <c r="E148" s="526"/>
      <c r="F148" s="526"/>
      <c r="G148" s="52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customHeight="1">
      <c r="B149" s="92" t="s">
        <v>578</v>
      </c>
      <c r="C149" s="526"/>
      <c r="D149" s="526"/>
      <c r="E149" s="526"/>
      <c r="F149" s="526"/>
      <c r="G149" s="52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customHeight="1">
      <c r="B150" s="94" t="s">
        <v>579</v>
      </c>
      <c r="C150" s="457">
        <f t="shared" ref="C150:G150" si="34">C146</f>
        <v>158676355.65405965</v>
      </c>
      <c r="D150" s="457">
        <f t="shared" si="34"/>
        <v>549260098.96937323</v>
      </c>
      <c r="E150" s="457">
        <f t="shared" si="34"/>
        <v>550061843.43989992</v>
      </c>
      <c r="F150" s="457">
        <f t="shared" si="34"/>
        <v>550062456.72470117</v>
      </c>
      <c r="G150" s="457">
        <f t="shared" si="34"/>
        <v>550062456.72470117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customHeight="1">
      <c r="B151" s="92" t="s">
        <v>580</v>
      </c>
      <c r="C151" s="528">
        <f>'CA COSTOS'!D44</f>
        <v>65071020.517284892</v>
      </c>
      <c r="D151" s="528">
        <f>'CA COSTOS'!E44</f>
        <v>65071020.517284892</v>
      </c>
      <c r="E151" s="528">
        <f>'CA COSTOS'!F44</f>
        <v>65071020.517284892</v>
      </c>
      <c r="F151" s="528">
        <f>'CA COSTOS'!G44</f>
        <v>65071020.517284892</v>
      </c>
      <c r="G151" s="528">
        <f>'CA COSTOS'!H44</f>
        <v>65071020.517284892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customHeight="1">
      <c r="B152" s="95" t="s">
        <v>188</v>
      </c>
      <c r="C152" s="457">
        <f>C150+C151</f>
        <v>223747376.17134455</v>
      </c>
      <c r="D152" s="457">
        <f t="shared" ref="D152:G152" si="35">D150+D151</f>
        <v>614331119.4866581</v>
      </c>
      <c r="E152" s="457">
        <f t="shared" si="35"/>
        <v>615132863.95718479</v>
      </c>
      <c r="F152" s="457">
        <f t="shared" si="35"/>
        <v>615133477.24198604</v>
      </c>
      <c r="G152" s="457">
        <f t="shared" si="35"/>
        <v>615133477.24198604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customHeight="1">
      <c r="B153" s="92"/>
      <c r="C153" s="457"/>
      <c r="D153" s="457"/>
      <c r="E153" s="457"/>
      <c r="F153" s="457"/>
      <c r="G153" s="529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customHeight="1">
      <c r="B154" s="92" t="s">
        <v>581</v>
      </c>
      <c r="C154" s="457">
        <f>C23*C25</f>
        <v>71623865.399076208</v>
      </c>
      <c r="D154" s="457">
        <f t="shared" ref="D154:G154" si="36">D23*D25</f>
        <v>71623865.399076208</v>
      </c>
      <c r="E154" s="457">
        <f t="shared" si="36"/>
        <v>71623865.399076208</v>
      </c>
      <c r="F154" s="457">
        <f t="shared" si="36"/>
        <v>71623865.399076208</v>
      </c>
      <c r="G154" s="457">
        <f t="shared" si="36"/>
        <v>71623865.399076208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customHeight="1">
      <c r="B155" s="94" t="s">
        <v>582</v>
      </c>
      <c r="C155" s="457">
        <f>C23*C26</f>
        <v>1302368510.1261854</v>
      </c>
      <c r="D155" s="457">
        <f t="shared" ref="D155:G155" si="37">D23*D26</f>
        <v>1213283015.5161855</v>
      </c>
      <c r="E155" s="457">
        <f t="shared" si="37"/>
        <v>1213283015.5161855</v>
      </c>
      <c r="F155" s="457">
        <f t="shared" si="37"/>
        <v>1213283015.5161855</v>
      </c>
      <c r="G155" s="457">
        <f t="shared" si="37"/>
        <v>1213283015.5161855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customHeight="1">
      <c r="B156" s="92" t="s">
        <v>583</v>
      </c>
      <c r="C156" s="457">
        <f t="shared" ref="C156:G156" si="38">C79*C77</f>
        <v>6386781.5859320518</v>
      </c>
      <c r="D156" s="457">
        <f t="shared" si="38"/>
        <v>6320857.4409320531</v>
      </c>
      <c r="E156" s="457">
        <f t="shared" si="38"/>
        <v>6320857.4409320531</v>
      </c>
      <c r="F156" s="457">
        <f t="shared" si="38"/>
        <v>6320857.4409320531</v>
      </c>
      <c r="G156" s="457">
        <f t="shared" si="38"/>
        <v>6320857.4409320531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customHeight="1">
      <c r="B157" s="94" t="s">
        <v>584</v>
      </c>
      <c r="C157" s="457">
        <f t="shared" ref="C157:G157" si="39">C80*C77</f>
        <v>207115.11665916175</v>
      </c>
      <c r="D157" s="457">
        <f t="shared" si="39"/>
        <v>207115.11665916172</v>
      </c>
      <c r="E157" s="457">
        <f t="shared" si="39"/>
        <v>207115.11665916172</v>
      </c>
      <c r="F157" s="457">
        <f t="shared" si="39"/>
        <v>207115.11665916172</v>
      </c>
      <c r="G157" s="457">
        <f t="shared" si="39"/>
        <v>207115.11665916172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customHeight="1">
      <c r="B158" s="92" t="s">
        <v>585</v>
      </c>
      <c r="C158" s="457">
        <f t="shared" ref="C158:G158" si="40">C100*C98</f>
        <v>54711934.001515433</v>
      </c>
      <c r="D158" s="457">
        <f t="shared" si="40"/>
        <v>74210649.101515442</v>
      </c>
      <c r="E158" s="457">
        <f t="shared" si="40"/>
        <v>74210649.101515442</v>
      </c>
      <c r="F158" s="457">
        <f t="shared" si="40"/>
        <v>74210649.101515442</v>
      </c>
      <c r="G158" s="457">
        <f t="shared" si="40"/>
        <v>74210649.101515442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customHeight="1">
      <c r="B159" s="94" t="s">
        <v>586</v>
      </c>
      <c r="C159" s="457">
        <f t="shared" ref="C159:G159" si="41">C101*C98</f>
        <v>5608396.7000757717</v>
      </c>
      <c r="D159" s="457">
        <f t="shared" si="41"/>
        <v>6583332.4550757725</v>
      </c>
      <c r="E159" s="457">
        <f t="shared" si="41"/>
        <v>6583332.4550757725</v>
      </c>
      <c r="F159" s="457">
        <f t="shared" si="41"/>
        <v>6583332.4550757725</v>
      </c>
      <c r="G159" s="457">
        <f t="shared" si="41"/>
        <v>6583332.4550757725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customHeight="1">
      <c r="B160" s="92" t="s">
        <v>587</v>
      </c>
      <c r="C160" s="457">
        <f>C114-C155-C157-C159</f>
        <v>321940978.05707967</v>
      </c>
      <c r="D160" s="457">
        <f>D114-D155-D157-D159</f>
        <v>1062101536.9120796</v>
      </c>
      <c r="E160" s="457">
        <f t="shared" ref="E160:G160" si="42">E114-E155-E157-E159</f>
        <v>1062101536.9120796</v>
      </c>
      <c r="F160" s="457">
        <f t="shared" si="42"/>
        <v>1062101536.9120796</v>
      </c>
      <c r="G160" s="457">
        <f t="shared" si="42"/>
        <v>1062101536.9120796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customHeight="1">
      <c r="B161" s="96" t="s">
        <v>588</v>
      </c>
      <c r="C161" s="530">
        <f>(C154+C156+C158)/C160</f>
        <v>0.41225749448705523</v>
      </c>
      <c r="D161" s="530">
        <f t="shared" ref="D161:F161" si="43">(D154+D156+D158)/D160</f>
        <v>0.14325878143806797</v>
      </c>
      <c r="E161" s="530">
        <f t="shared" si="43"/>
        <v>0.14325878143806797</v>
      </c>
      <c r="F161" s="530">
        <f t="shared" si="43"/>
        <v>0.14325878143806797</v>
      </c>
      <c r="G161" s="530">
        <f>(G154+G156+G158)/G160</f>
        <v>0.14325878143806797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9.5" customHeight="1">
      <c r="B162" s="97" t="s">
        <v>589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2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customHeight="1">
      <c r="B164" s="98" t="s">
        <v>2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customHeight="1">
      <c r="B165" s="99" t="s">
        <v>590</v>
      </c>
      <c r="C165" s="531" t="s">
        <v>591</v>
      </c>
      <c r="D165" s="531" t="s">
        <v>592</v>
      </c>
      <c r="E165" s="531" t="s">
        <v>593</v>
      </c>
      <c r="F165" s="531" t="s">
        <v>594</v>
      </c>
      <c r="G165" s="531" t="s">
        <v>595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customHeight="1">
      <c r="B166" s="100">
        <f>C114</f>
        <v>1630125000</v>
      </c>
      <c r="C166" s="532">
        <v>0</v>
      </c>
      <c r="D166" s="533" t="s">
        <v>596</v>
      </c>
      <c r="E166" s="440">
        <f>$C$154+$C$156+$C$158</f>
        <v>132722580.98652369</v>
      </c>
      <c r="F166" s="440">
        <f t="shared" ref="F166:F185" si="44">$F$186*C166</f>
        <v>0</v>
      </c>
      <c r="G166" s="440">
        <f>E166+F166</f>
        <v>132722580.98652369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customHeight="1">
      <c r="B167" s="3"/>
      <c r="C167" s="532">
        <v>0.05</v>
      </c>
      <c r="D167" s="533">
        <f>C167*$B$166</f>
        <v>81506250</v>
      </c>
      <c r="E167" s="440">
        <f>$C$154+$C$156+$C$158</f>
        <v>132722580.98652369</v>
      </c>
      <c r="F167" s="440">
        <f>$F$186*C167</f>
        <v>65409201.097146027</v>
      </c>
      <c r="G167" s="440">
        <f t="shared" ref="G167:G186" si="45">E167+F167</f>
        <v>198131782.08366972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customHeight="1">
      <c r="B168" s="3"/>
      <c r="C168" s="532">
        <v>0.1</v>
      </c>
      <c r="D168" s="533">
        <f t="shared" ref="D168:D186" si="46">C168*$B$166</f>
        <v>163012500</v>
      </c>
      <c r="E168" s="440">
        <f t="shared" ref="E168:E186" si="47">$C$154+$C$156+$C$158</f>
        <v>132722580.98652369</v>
      </c>
      <c r="F168" s="440">
        <f>$F$186*C168</f>
        <v>130818402.19429205</v>
      </c>
      <c r="G168" s="440">
        <f t="shared" si="45"/>
        <v>263540983.18081576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customHeight="1">
      <c r="B169" s="3"/>
      <c r="C169" s="532">
        <v>0.15</v>
      </c>
      <c r="D169" s="533">
        <f t="shared" si="46"/>
        <v>244518750</v>
      </c>
      <c r="E169" s="440">
        <f>$C$154+$C$156+$C$158</f>
        <v>132722580.98652369</v>
      </c>
      <c r="F169" s="440">
        <f t="shared" si="44"/>
        <v>196227603.29143807</v>
      </c>
      <c r="G169" s="440">
        <f t="shared" si="45"/>
        <v>328950184.27796173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customHeight="1">
      <c r="B170" s="3"/>
      <c r="C170" s="532">
        <v>0.2</v>
      </c>
      <c r="D170" s="533">
        <f>C170*$B$166</f>
        <v>326025000</v>
      </c>
      <c r="E170" s="440">
        <f t="shared" si="47"/>
        <v>132722580.98652369</v>
      </c>
      <c r="F170" s="440">
        <f t="shared" si="44"/>
        <v>261636804.38858411</v>
      </c>
      <c r="G170" s="440">
        <f>E170+F170</f>
        <v>394359385.37510777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customHeight="1">
      <c r="B171" s="3"/>
      <c r="C171" s="532">
        <v>0.25</v>
      </c>
      <c r="D171" s="533">
        <f t="shared" si="46"/>
        <v>407531250</v>
      </c>
      <c r="E171" s="440">
        <f t="shared" si="47"/>
        <v>132722580.98652369</v>
      </c>
      <c r="F171" s="440">
        <f t="shared" si="44"/>
        <v>327046005.48573011</v>
      </c>
      <c r="G171" s="440">
        <f t="shared" si="45"/>
        <v>459768586.4722538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customHeight="1">
      <c r="B172" s="3"/>
      <c r="C172" s="532">
        <v>0.3</v>
      </c>
      <c r="D172" s="533">
        <f t="shared" si="46"/>
        <v>489037500</v>
      </c>
      <c r="E172" s="440">
        <f t="shared" si="47"/>
        <v>132722580.98652369</v>
      </c>
      <c r="F172" s="440">
        <f t="shared" si="44"/>
        <v>392455206.58287615</v>
      </c>
      <c r="G172" s="440">
        <f t="shared" si="45"/>
        <v>525177787.56939983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customHeight="1">
      <c r="B173" s="3"/>
      <c r="C173" s="532">
        <v>0.35</v>
      </c>
      <c r="D173" s="533">
        <f t="shared" si="46"/>
        <v>570543750</v>
      </c>
      <c r="E173" s="440">
        <f t="shared" si="47"/>
        <v>132722580.98652369</v>
      </c>
      <c r="F173" s="440">
        <f t="shared" si="44"/>
        <v>457864407.68002212</v>
      </c>
      <c r="G173" s="440">
        <f>E173+F173</f>
        <v>590586988.66654587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customHeight="1">
      <c r="B174" s="3"/>
      <c r="C174" s="532">
        <v>0.4</v>
      </c>
      <c r="D174" s="533">
        <f t="shared" si="46"/>
        <v>652050000</v>
      </c>
      <c r="E174" s="440">
        <f t="shared" si="47"/>
        <v>132722580.98652369</v>
      </c>
      <c r="F174" s="440">
        <f t="shared" si="44"/>
        <v>523273608.77716821</v>
      </c>
      <c r="G174" s="440">
        <f t="shared" si="45"/>
        <v>655996189.7636919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customHeight="1">
      <c r="B175" s="3"/>
      <c r="C175" s="532">
        <v>0.45</v>
      </c>
      <c r="D175" s="533">
        <f t="shared" si="46"/>
        <v>733556250</v>
      </c>
      <c r="E175" s="440">
        <f t="shared" si="47"/>
        <v>132722580.98652369</v>
      </c>
      <c r="F175" s="440">
        <f t="shared" si="44"/>
        <v>588682809.87431419</v>
      </c>
      <c r="G175" s="440">
        <f t="shared" si="45"/>
        <v>721405390.86083794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customHeight="1">
      <c r="B176" s="3"/>
      <c r="C176" s="532">
        <v>0.5</v>
      </c>
      <c r="D176" s="533">
        <f t="shared" si="46"/>
        <v>815062500</v>
      </c>
      <c r="E176" s="440">
        <f t="shared" si="47"/>
        <v>132722580.98652369</v>
      </c>
      <c r="F176" s="440">
        <f t="shared" si="44"/>
        <v>654092010.97146022</v>
      </c>
      <c r="G176" s="440">
        <f t="shared" si="45"/>
        <v>786814591.95798397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customHeight="1">
      <c r="B177" s="3"/>
      <c r="C177" s="532">
        <v>0.55000000000000004</v>
      </c>
      <c r="D177" s="533">
        <f t="shared" si="46"/>
        <v>896568750.00000012</v>
      </c>
      <c r="E177" s="440">
        <f t="shared" si="47"/>
        <v>132722580.98652369</v>
      </c>
      <c r="F177" s="440">
        <f t="shared" si="44"/>
        <v>719501212.06860626</v>
      </c>
      <c r="G177" s="440">
        <f>E177+F177</f>
        <v>852223793.05513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customHeight="1">
      <c r="B178" s="3"/>
      <c r="C178" s="532">
        <v>0.6</v>
      </c>
      <c r="D178" s="533">
        <f t="shared" si="46"/>
        <v>978075000</v>
      </c>
      <c r="E178" s="440">
        <f t="shared" si="47"/>
        <v>132722580.98652369</v>
      </c>
      <c r="F178" s="440">
        <f t="shared" si="44"/>
        <v>784910413.16575229</v>
      </c>
      <c r="G178" s="440">
        <f t="shared" si="45"/>
        <v>917632994.15227604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customHeight="1">
      <c r="B179" s="3"/>
      <c r="C179" s="532">
        <v>0.65</v>
      </c>
      <c r="D179" s="533">
        <f t="shared" si="46"/>
        <v>1059581250</v>
      </c>
      <c r="E179" s="440">
        <f t="shared" si="47"/>
        <v>132722580.98652369</v>
      </c>
      <c r="F179" s="440">
        <f t="shared" si="44"/>
        <v>850319614.26289833</v>
      </c>
      <c r="G179" s="440">
        <f t="shared" si="45"/>
        <v>983042195.24942207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customHeight="1">
      <c r="B180" s="3"/>
      <c r="C180" s="532">
        <v>0.7</v>
      </c>
      <c r="D180" s="533">
        <f t="shared" si="46"/>
        <v>1141087500</v>
      </c>
      <c r="E180" s="440">
        <f t="shared" si="47"/>
        <v>132722580.98652369</v>
      </c>
      <c r="F180" s="440">
        <f t="shared" si="44"/>
        <v>915728815.36004424</v>
      </c>
      <c r="G180" s="440">
        <f t="shared" si="45"/>
        <v>1048451396.3465679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customHeight="1">
      <c r="B181" s="3"/>
      <c r="C181" s="532">
        <v>0.75</v>
      </c>
      <c r="D181" s="533">
        <f t="shared" si="46"/>
        <v>1222593750</v>
      </c>
      <c r="E181" s="440">
        <f t="shared" si="47"/>
        <v>132722580.98652369</v>
      </c>
      <c r="F181" s="440">
        <f>$F$186*C181</f>
        <v>981138016.45719028</v>
      </c>
      <c r="G181" s="440">
        <f t="shared" si="45"/>
        <v>1113860597.4437139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customHeight="1">
      <c r="B182" s="3"/>
      <c r="C182" s="532">
        <v>0.8</v>
      </c>
      <c r="D182" s="533">
        <f t="shared" si="46"/>
        <v>1304100000</v>
      </c>
      <c r="E182" s="440">
        <f t="shared" si="47"/>
        <v>132722580.98652369</v>
      </c>
      <c r="F182" s="440">
        <f t="shared" si="44"/>
        <v>1046547217.5543364</v>
      </c>
      <c r="G182" s="440">
        <f t="shared" si="45"/>
        <v>1179269798.5408602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customHeight="1">
      <c r="B183" s="3"/>
      <c r="C183" s="532">
        <v>0.85</v>
      </c>
      <c r="D183" s="533">
        <f t="shared" si="46"/>
        <v>1385606250</v>
      </c>
      <c r="E183" s="440">
        <f t="shared" si="47"/>
        <v>132722580.98652369</v>
      </c>
      <c r="F183" s="440">
        <f t="shared" si="44"/>
        <v>1111956418.6514823</v>
      </c>
      <c r="G183" s="440">
        <f t="shared" si="45"/>
        <v>1244678999.638006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customHeight="1">
      <c r="B184" s="3"/>
      <c r="C184" s="532">
        <v>0.9</v>
      </c>
      <c r="D184" s="533">
        <f t="shared" si="46"/>
        <v>1467112500</v>
      </c>
      <c r="E184" s="440">
        <f t="shared" si="47"/>
        <v>132722580.98652369</v>
      </c>
      <c r="F184" s="440">
        <f t="shared" si="44"/>
        <v>1177365619.7486284</v>
      </c>
      <c r="G184" s="440">
        <f t="shared" si="45"/>
        <v>1310088200.735152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customHeight="1">
      <c r="B185" s="3"/>
      <c r="C185" s="532">
        <v>0.95</v>
      </c>
      <c r="D185" s="533">
        <f t="shared" si="46"/>
        <v>1548618750</v>
      </c>
      <c r="E185" s="440">
        <f t="shared" si="47"/>
        <v>132722580.98652369</v>
      </c>
      <c r="F185" s="440">
        <f t="shared" si="44"/>
        <v>1242774820.8457744</v>
      </c>
      <c r="G185" s="440">
        <f t="shared" si="45"/>
        <v>1375497401.832298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customHeight="1">
      <c r="B186" s="3"/>
      <c r="C186" s="532">
        <v>1</v>
      </c>
      <c r="D186" s="533">
        <f t="shared" si="46"/>
        <v>1630125000</v>
      </c>
      <c r="E186" s="440">
        <f t="shared" si="47"/>
        <v>132722580.98652369</v>
      </c>
      <c r="F186" s="440">
        <f>C155+C157+C159</f>
        <v>1308184021.9429204</v>
      </c>
      <c r="G186" s="440">
        <f t="shared" si="45"/>
        <v>1440906602.9294441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customHeight="1">
      <c r="B189" s="98" t="s">
        <v>6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customHeight="1">
      <c r="B190" s="99" t="s">
        <v>590</v>
      </c>
      <c r="C190" s="531" t="s">
        <v>591</v>
      </c>
      <c r="D190" s="531" t="s">
        <v>592</v>
      </c>
      <c r="E190" s="531" t="s">
        <v>593</v>
      </c>
      <c r="F190" s="531" t="s">
        <v>594</v>
      </c>
      <c r="G190" s="531" t="s">
        <v>595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customHeight="1">
      <c r="B191" s="100">
        <f>G114</f>
        <v>2282175000</v>
      </c>
      <c r="C191" s="532">
        <v>0</v>
      </c>
      <c r="D191" s="533">
        <f t="shared" ref="D191:D211" si="48">C191*$B$191</f>
        <v>0</v>
      </c>
      <c r="E191" s="440">
        <f>$G$154+$G$156+$G$158</f>
        <v>152155371.9415237</v>
      </c>
      <c r="F191" s="440">
        <f t="shared" ref="F191:F210" si="49">$F$211*C191</f>
        <v>0</v>
      </c>
      <c r="G191" s="440">
        <f>E191+F191</f>
        <v>152155371.9415237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customHeight="1">
      <c r="B192" s="3"/>
      <c r="C192" s="532">
        <v>0.05</v>
      </c>
      <c r="D192" s="533">
        <f t="shared" si="48"/>
        <v>114108750</v>
      </c>
      <c r="E192" s="440">
        <f t="shared" ref="E192:E211" si="50">$G$154+$G$156+$G$158</f>
        <v>152155371.9415237</v>
      </c>
      <c r="F192" s="440">
        <f t="shared" si="49"/>
        <v>176890469.78112903</v>
      </c>
      <c r="G192" s="440">
        <f t="shared" ref="G192:G211" si="51">E192+F192</f>
        <v>329045841.72265273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customHeight="1">
      <c r="B193" s="3"/>
      <c r="C193" s="532">
        <v>0.1</v>
      </c>
      <c r="D193" s="533">
        <f t="shared" si="48"/>
        <v>228217500</v>
      </c>
      <c r="E193" s="440">
        <f t="shared" si="50"/>
        <v>152155371.9415237</v>
      </c>
      <c r="F193" s="440">
        <f t="shared" si="49"/>
        <v>353780939.56225806</v>
      </c>
      <c r="G193" s="440">
        <f t="shared" si="51"/>
        <v>505936311.5037818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customHeight="1">
      <c r="B194" s="3"/>
      <c r="C194" s="532">
        <v>0.15</v>
      </c>
      <c r="D194" s="533">
        <f t="shared" si="48"/>
        <v>342326250</v>
      </c>
      <c r="E194" s="440">
        <f t="shared" si="50"/>
        <v>152155371.9415237</v>
      </c>
      <c r="F194" s="440">
        <f>$F$211*C194</f>
        <v>530671409.34338707</v>
      </c>
      <c r="G194" s="440">
        <f t="shared" si="51"/>
        <v>682826781.2849108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customHeight="1">
      <c r="B195" s="3"/>
      <c r="C195" s="532">
        <v>0.2</v>
      </c>
      <c r="D195" s="533">
        <f t="shared" si="48"/>
        <v>456435000</v>
      </c>
      <c r="E195" s="440">
        <f t="shared" si="50"/>
        <v>152155371.9415237</v>
      </c>
      <c r="F195" s="440">
        <f t="shared" si="49"/>
        <v>707561879.12451613</v>
      </c>
      <c r="G195" s="440">
        <f t="shared" si="51"/>
        <v>859717251.0660398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customHeight="1">
      <c r="B196" s="3"/>
      <c r="C196" s="532">
        <v>0.25</v>
      </c>
      <c r="D196" s="533">
        <f t="shared" si="48"/>
        <v>570543750</v>
      </c>
      <c r="E196" s="440">
        <f t="shared" si="50"/>
        <v>152155371.9415237</v>
      </c>
      <c r="F196" s="440">
        <f t="shared" si="49"/>
        <v>884452348.90564513</v>
      </c>
      <c r="G196" s="440">
        <f t="shared" si="51"/>
        <v>1036607720.8471688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customHeight="1">
      <c r="B197" s="3"/>
      <c r="C197" s="532">
        <v>0.3</v>
      </c>
      <c r="D197" s="533">
        <f t="shared" si="48"/>
        <v>684652500</v>
      </c>
      <c r="E197" s="440">
        <f t="shared" si="50"/>
        <v>152155371.9415237</v>
      </c>
      <c r="F197" s="440">
        <f t="shared" si="49"/>
        <v>1061342818.6867741</v>
      </c>
      <c r="G197" s="440">
        <f t="shared" si="51"/>
        <v>1213498190.6282978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customHeight="1">
      <c r="B198" s="3"/>
      <c r="C198" s="532">
        <v>0.35</v>
      </c>
      <c r="D198" s="533">
        <f t="shared" si="48"/>
        <v>798761250</v>
      </c>
      <c r="E198" s="440">
        <f t="shared" si="50"/>
        <v>152155371.9415237</v>
      </c>
      <c r="F198" s="440">
        <f>$F$211*C198</f>
        <v>1238233288.4679031</v>
      </c>
      <c r="G198" s="440">
        <f t="shared" si="51"/>
        <v>1390388660.4094269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customHeight="1">
      <c r="B199" s="3"/>
      <c r="C199" s="532">
        <v>0.4</v>
      </c>
      <c r="D199" s="533">
        <f t="shared" si="48"/>
        <v>912870000</v>
      </c>
      <c r="E199" s="440">
        <f t="shared" si="50"/>
        <v>152155371.9415237</v>
      </c>
      <c r="F199" s="440">
        <f t="shared" si="49"/>
        <v>1415123758.2490323</v>
      </c>
      <c r="G199" s="440">
        <f t="shared" si="51"/>
        <v>1567279130.190556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customHeight="1">
      <c r="B200" s="3"/>
      <c r="C200" s="532">
        <v>0.45</v>
      </c>
      <c r="D200" s="533">
        <f t="shared" si="48"/>
        <v>1026978750</v>
      </c>
      <c r="E200" s="440">
        <f t="shared" si="50"/>
        <v>152155371.9415237</v>
      </c>
      <c r="F200" s="440">
        <f t="shared" si="49"/>
        <v>1592014228.0301614</v>
      </c>
      <c r="G200" s="440">
        <f t="shared" si="51"/>
        <v>1744169599.9716852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customHeight="1">
      <c r="B201" s="3"/>
      <c r="C201" s="532">
        <v>0.5</v>
      </c>
      <c r="D201" s="533">
        <f t="shared" si="48"/>
        <v>1141087500</v>
      </c>
      <c r="E201" s="440">
        <f t="shared" si="50"/>
        <v>152155371.9415237</v>
      </c>
      <c r="F201" s="440">
        <f t="shared" si="49"/>
        <v>1768904697.8112903</v>
      </c>
      <c r="G201" s="440">
        <f t="shared" si="51"/>
        <v>1921060069.7528141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customHeight="1">
      <c r="B202" s="3"/>
      <c r="C202" s="532">
        <v>0.55000000000000004</v>
      </c>
      <c r="D202" s="533">
        <f t="shared" si="48"/>
        <v>1255196250</v>
      </c>
      <c r="E202" s="440">
        <f t="shared" si="50"/>
        <v>152155371.9415237</v>
      </c>
      <c r="F202" s="440">
        <f t="shared" si="49"/>
        <v>1945795167.5924194</v>
      </c>
      <c r="G202" s="440">
        <f t="shared" si="51"/>
        <v>2097950539.5339432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customHeight="1">
      <c r="B203" s="3"/>
      <c r="C203" s="532">
        <v>0.6</v>
      </c>
      <c r="D203" s="533">
        <f t="shared" si="48"/>
        <v>1369305000</v>
      </c>
      <c r="E203" s="440">
        <f t="shared" si="50"/>
        <v>152155371.9415237</v>
      </c>
      <c r="F203" s="440">
        <f t="shared" si="49"/>
        <v>2122685637.3735483</v>
      </c>
      <c r="G203" s="440">
        <f t="shared" si="51"/>
        <v>2274841009.3150721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customHeight="1">
      <c r="B204" s="3"/>
      <c r="C204" s="532">
        <v>0.65</v>
      </c>
      <c r="D204" s="533">
        <f t="shared" si="48"/>
        <v>1483413750</v>
      </c>
      <c r="E204" s="440">
        <f t="shared" si="50"/>
        <v>152155371.9415237</v>
      </c>
      <c r="F204" s="440">
        <f t="shared" si="49"/>
        <v>2299576107.1546774</v>
      </c>
      <c r="G204" s="440">
        <f t="shared" si="51"/>
        <v>2451731479.0962009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customHeight="1">
      <c r="B205" s="3"/>
      <c r="C205" s="532">
        <v>0.7</v>
      </c>
      <c r="D205" s="533">
        <f t="shared" si="48"/>
        <v>1597522500</v>
      </c>
      <c r="E205" s="440">
        <f t="shared" si="50"/>
        <v>152155371.9415237</v>
      </c>
      <c r="F205" s="440">
        <f t="shared" si="49"/>
        <v>2476466576.9358063</v>
      </c>
      <c r="G205" s="440">
        <f>E205+F205</f>
        <v>2628621948.8773298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customHeight="1">
      <c r="B206" s="3"/>
      <c r="C206" s="532">
        <v>0.75</v>
      </c>
      <c r="D206" s="533">
        <f t="shared" si="48"/>
        <v>1711631250</v>
      </c>
      <c r="E206" s="440">
        <f t="shared" si="50"/>
        <v>152155371.9415237</v>
      </c>
      <c r="F206" s="440">
        <f t="shared" si="49"/>
        <v>2653357046.7169352</v>
      </c>
      <c r="G206" s="440">
        <f t="shared" si="51"/>
        <v>2805512418.6584587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customHeight="1">
      <c r="B207" s="3"/>
      <c r="C207" s="532">
        <v>0.8</v>
      </c>
      <c r="D207" s="533">
        <f t="shared" si="48"/>
        <v>1825740000</v>
      </c>
      <c r="E207" s="440">
        <f t="shared" si="50"/>
        <v>152155371.9415237</v>
      </c>
      <c r="F207" s="440">
        <f t="shared" si="49"/>
        <v>2830247516.4980645</v>
      </c>
      <c r="G207" s="440">
        <f t="shared" si="51"/>
        <v>2982402888.4395881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customHeight="1">
      <c r="B208" s="3"/>
      <c r="C208" s="532">
        <v>0.85</v>
      </c>
      <c r="D208" s="533">
        <f t="shared" si="48"/>
        <v>1939848750</v>
      </c>
      <c r="E208" s="440">
        <f t="shared" si="50"/>
        <v>152155371.9415237</v>
      </c>
      <c r="F208" s="440">
        <f t="shared" si="49"/>
        <v>3007137986.2791934</v>
      </c>
      <c r="G208" s="440">
        <f t="shared" si="51"/>
        <v>3159293358.220717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customHeight="1">
      <c r="B209" s="3"/>
      <c r="C209" s="532">
        <v>0.9</v>
      </c>
      <c r="D209" s="533">
        <f t="shared" si="48"/>
        <v>2053957500</v>
      </c>
      <c r="E209" s="440">
        <f t="shared" si="50"/>
        <v>152155371.9415237</v>
      </c>
      <c r="F209" s="440">
        <f t="shared" si="49"/>
        <v>3184028456.0603228</v>
      </c>
      <c r="G209" s="440">
        <f t="shared" si="51"/>
        <v>3336183828.0018463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customHeight="1">
      <c r="B210" s="3"/>
      <c r="C210" s="532">
        <v>0.95</v>
      </c>
      <c r="D210" s="533">
        <f t="shared" si="48"/>
        <v>2168066250</v>
      </c>
      <c r="E210" s="440">
        <f t="shared" si="50"/>
        <v>152155371.9415237</v>
      </c>
      <c r="F210" s="440">
        <f t="shared" si="49"/>
        <v>3360918925.8414512</v>
      </c>
      <c r="G210" s="440">
        <f t="shared" si="51"/>
        <v>3513074297.7829747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customHeight="1">
      <c r="B211" s="3"/>
      <c r="C211" s="532">
        <v>1</v>
      </c>
      <c r="D211" s="533">
        <f t="shared" si="48"/>
        <v>2282175000</v>
      </c>
      <c r="E211" s="440">
        <f t="shared" si="50"/>
        <v>152155371.9415237</v>
      </c>
      <c r="F211" s="440">
        <f>G180+G182+G184</f>
        <v>3537809395.6225805</v>
      </c>
      <c r="G211" s="440">
        <f t="shared" si="51"/>
        <v>3689964767.5641041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5.75" customHeight="1"/>
    <row r="364" spans="2:27" ht="15.75" customHeight="1"/>
    <row r="365" spans="2:27" ht="15.75" customHeight="1"/>
    <row r="366" spans="2:27" ht="15.75" customHeight="1"/>
    <row r="367" spans="2:27" ht="15.75" customHeight="1"/>
    <row r="368" spans="2:27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B4:G4"/>
    <mergeCell ref="B31:G31"/>
    <mergeCell ref="B30:H30"/>
    <mergeCell ref="B104:G104"/>
    <mergeCell ref="B83:G83"/>
    <mergeCell ref="B62:G62"/>
    <mergeCell ref="B48:G48"/>
  </mergeCells>
  <pageMargins left="0.32013888888888897" right="0.75" top="0.179861111111111" bottom="0.15972222222222199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Z1000"/>
  <sheetViews>
    <sheetView showGridLines="0" topLeftCell="A20" workbookViewId="0">
      <selection activeCell="G15" sqref="G15"/>
    </sheetView>
  </sheetViews>
  <sheetFormatPr baseColWidth="10" defaultColWidth="12.7109375" defaultRowHeight="15" customHeight="1"/>
  <cols>
    <col min="1" max="1" width="46.5703125" customWidth="1"/>
    <col min="2" max="2" width="19" bestFit="1" customWidth="1"/>
    <col min="3" max="3" width="21.140625" customWidth="1"/>
    <col min="4" max="4" width="19.42578125" customWidth="1"/>
    <col min="5" max="5" width="22.140625" customWidth="1"/>
    <col min="6" max="6" width="22.42578125" customWidth="1"/>
    <col min="7" max="7" width="19.570312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20">
        <f>InfoInicial!E1</f>
        <v>9</v>
      </c>
      <c r="F1" s="3"/>
      <c r="G1" s="3"/>
      <c r="H1" s="1021" t="s">
        <v>597</v>
      </c>
      <c r="I1" s="990"/>
      <c r="J1" s="101">
        <v>30</v>
      </c>
      <c r="K1" s="3" t="s">
        <v>598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599</v>
      </c>
      <c r="B3" s="77"/>
      <c r="C3" s="77"/>
      <c r="D3" s="77"/>
      <c r="E3" s="77"/>
      <c r="F3" s="77"/>
      <c r="G3" s="7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434" t="s">
        <v>14</v>
      </c>
      <c r="C4" s="434" t="s">
        <v>2</v>
      </c>
      <c r="D4" s="434" t="s">
        <v>3</v>
      </c>
      <c r="E4" s="434" t="s">
        <v>4</v>
      </c>
      <c r="F4" s="434" t="s">
        <v>5</v>
      </c>
      <c r="G4" s="435" t="s">
        <v>6</v>
      </c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6" t="s">
        <v>600</v>
      </c>
      <c r="B5" s="437"/>
      <c r="C5" s="437"/>
      <c r="D5" s="437"/>
      <c r="E5" s="437"/>
      <c r="F5" s="437"/>
      <c r="G5" s="438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39" t="s">
        <v>601</v>
      </c>
      <c r="B6" s="440">
        <f>C6*B41</f>
        <v>2608200</v>
      </c>
      <c r="C6" s="440">
        <f>'E-Costos'!C114*$B$40</f>
        <v>32602500</v>
      </c>
      <c r="D6" s="440">
        <f>'E-Costos'!D114*$B$40</f>
        <v>45643500</v>
      </c>
      <c r="E6" s="440">
        <f>'E-Costos'!E114*$B$40</f>
        <v>45643500</v>
      </c>
      <c r="F6" s="440">
        <f>'E-Costos'!F114*$B$40</f>
        <v>45643500</v>
      </c>
      <c r="G6" s="440">
        <f>'E-Costos'!G114*$B$40</f>
        <v>45643500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39" t="s">
        <v>602</v>
      </c>
      <c r="B7" s="440">
        <v>0</v>
      </c>
      <c r="C7" s="440">
        <f>'E-Costos'!C114*'E-InvAT'!J1/365</f>
        <v>133982876.71232876</v>
      </c>
      <c r="D7" s="440">
        <f>'E-Costos'!D114*'E-InvAT'!J1/365</f>
        <v>187576027.39726028</v>
      </c>
      <c r="E7" s="440">
        <f>'E-Costos'!E114*'E-InvAT'!J1/365</f>
        <v>187576027.39726028</v>
      </c>
      <c r="F7" s="440">
        <f>'E-Costos'!F114*'E-InvAT'!J1/365</f>
        <v>187576027.39726028</v>
      </c>
      <c r="G7" s="440">
        <f>'E-Costos'!G114*'E-InvAT'!J1/365</f>
        <v>187576027.39726028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9"/>
      <c r="B8" s="440"/>
      <c r="C8" s="440"/>
      <c r="D8" s="440"/>
      <c r="E8" s="440"/>
      <c r="F8" s="440"/>
      <c r="G8" s="44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6" t="s">
        <v>603</v>
      </c>
      <c r="B9" s="440">
        <f>SUM(B10:B13)</f>
        <v>959473.54645999998</v>
      </c>
      <c r="C9" s="440">
        <f>SUM(C10:C13)</f>
        <v>66466505.091998838</v>
      </c>
      <c r="D9" s="440">
        <f>SUM(D10:D13)</f>
        <v>65139196.977312304</v>
      </c>
      <c r="E9" s="440">
        <f>SUM(E10:E13)</f>
        <v>65138182.444969602</v>
      </c>
      <c r="F9" s="440">
        <f t="shared" ref="F9:G9" si="0">SUM(F10:F13)</f>
        <v>65138182.444969602</v>
      </c>
      <c r="G9" s="440">
        <f t="shared" si="0"/>
        <v>65138182.444969602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9" t="s">
        <v>604</v>
      </c>
      <c r="B10" s="440">
        <f>'CA Inv AT'!C10</f>
        <v>378273.44646000001</v>
      </c>
      <c r="C10" s="440">
        <f>'InfoInicial-CálcAux'!L18*'CA COSTOS'!D129</f>
        <v>38610000</v>
      </c>
      <c r="D10" s="440">
        <f>'InfoInicial-CálcAux'!M18*'CA COSTOS'!D129</f>
        <v>38610000</v>
      </c>
      <c r="E10" s="440">
        <f t="shared" ref="E10:G10" si="1">D10</f>
        <v>38610000</v>
      </c>
      <c r="F10" s="440">
        <f t="shared" si="1"/>
        <v>38610000</v>
      </c>
      <c r="G10" s="441">
        <f t="shared" si="1"/>
        <v>38610000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39" t="s">
        <v>605</v>
      </c>
      <c r="B11" s="440">
        <f>('CA COSTOS'!H9-'CA COSTOS'!H7)*'InfoInicial-CálcAux'!K20</f>
        <v>581200.1</v>
      </c>
      <c r="C11" s="440">
        <f>'CA COSTOS'!K90</f>
        <v>1806099.4161843748</v>
      </c>
      <c r="D11" s="440">
        <f>C11</f>
        <v>1806099.4161843748</v>
      </c>
      <c r="E11" s="440">
        <f t="shared" ref="E11" si="2">D11</f>
        <v>1806099.4161843748</v>
      </c>
      <c r="F11" s="440">
        <f>E11</f>
        <v>1806099.4161843748</v>
      </c>
      <c r="G11" s="441">
        <f>F11</f>
        <v>1806099.4161843748</v>
      </c>
      <c r="H11" s="3"/>
      <c r="I11" s="15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39" t="s">
        <v>606</v>
      </c>
      <c r="B12" s="440">
        <v>0</v>
      </c>
      <c r="C12" s="945">
        <f>'E-Costos'!C45</f>
        <v>18214463.464855101</v>
      </c>
      <c r="D12" s="440">
        <f>'E-Costos'!D45</f>
        <v>17102386.04566947</v>
      </c>
      <c r="E12" s="440">
        <f>'E-Costos'!E45</f>
        <v>17102386.04566947</v>
      </c>
      <c r="F12" s="440">
        <f>'E-Costos'!F45</f>
        <v>17102386.04566947</v>
      </c>
      <c r="G12" s="440">
        <f>'E-Costos'!G45</f>
        <v>17102386.04566947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920" t="s">
        <v>607</v>
      </c>
      <c r="B13" s="943">
        <v>0</v>
      </c>
      <c r="C13" s="944">
        <f>'E-Costos'!C140*'InfoInicial-CálcAux'!L24</f>
        <v>7835942.2109593684</v>
      </c>
      <c r="D13" s="944">
        <f>'E-Costos'!D131+C13</f>
        <v>7620711.5154584562</v>
      </c>
      <c r="E13" s="944">
        <f>'E-Costos'!E131+D13</f>
        <v>7619696.9831157532</v>
      </c>
      <c r="F13" s="944">
        <f>'E-Costos'!F131+E13</f>
        <v>7619696.9831157532</v>
      </c>
      <c r="G13" s="944">
        <f>'E-Costos'!G131+F13</f>
        <v>7619696.9831157532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39"/>
      <c r="B14" s="440"/>
      <c r="C14" s="440">
        <f>C13-'E-Costos'!C10</f>
        <v>-60659868.859866835</v>
      </c>
      <c r="D14" s="440">
        <f>D13-'E-Costos'!D10</f>
        <v>-60875099.555367745</v>
      </c>
      <c r="E14" s="440">
        <f>E13-'E-Costos'!E10</f>
        <v>-60876114.087710448</v>
      </c>
      <c r="F14" s="440">
        <f>F13-'E-Costos'!F10</f>
        <v>-60876114.087710448</v>
      </c>
      <c r="G14" s="440">
        <f>G13-'E-Costos'!G10</f>
        <v>-60876114.087710448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6" t="s">
        <v>608</v>
      </c>
      <c r="B15" s="440">
        <f>B9+B6+B7</f>
        <v>3567673.5464599999</v>
      </c>
      <c r="C15" s="440">
        <f>C9+C6+C7</f>
        <v>233051881.80432761</v>
      </c>
      <c r="D15" s="440">
        <f>D9+D6+D7</f>
        <v>298358724.37457258</v>
      </c>
      <c r="E15" s="440">
        <f>E9+E6+E7</f>
        <v>298357709.84222984</v>
      </c>
      <c r="F15" s="440">
        <f t="shared" ref="F15:G15" si="3">F9+F6+F7</f>
        <v>298357709.84222984</v>
      </c>
      <c r="G15" s="440">
        <f t="shared" si="3"/>
        <v>298357709.84222984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36" t="s">
        <v>609</v>
      </c>
      <c r="B16" s="440"/>
      <c r="C16" s="440"/>
      <c r="D16" s="440"/>
      <c r="E16" s="440"/>
      <c r="F16" s="440"/>
      <c r="G16" s="44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39" t="s">
        <v>610</v>
      </c>
      <c r="B17" s="440">
        <v>0</v>
      </c>
      <c r="C17" s="440">
        <f>'E-Costos'!C36</f>
        <v>6608511.2300080173</v>
      </c>
      <c r="D17" s="440">
        <f>'E-Costos'!D36</f>
        <v>5653948.1929718591</v>
      </c>
      <c r="E17" s="440">
        <f>'E-Costos'!E36</f>
        <v>5653948.1929718591</v>
      </c>
      <c r="F17" s="440">
        <f>'E-Costos'!F36</f>
        <v>5653948.1929718591</v>
      </c>
      <c r="G17" s="441">
        <f>'E-Costos'!G36</f>
        <v>5653948.1929718591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9" t="s">
        <v>611</v>
      </c>
      <c r="B18" s="440">
        <v>0</v>
      </c>
      <c r="C18" s="440">
        <f>(('E-Costos'!C10-'E-Costos'!C36)/'InfoInicial-CálcAux'!L14)*'InfoInicial-CálcAux'!L13</f>
        <v>1418349.1358293809</v>
      </c>
      <c r="D18" s="440">
        <f>(('E-Costos'!D10-'E-Costos'!D36)/'InfoInicial-CálcAux'!M14)*'InfoInicial-CálcAux'!M13</f>
        <v>1232193.3887839189</v>
      </c>
      <c r="E18" s="440">
        <f>(('E-Costos'!E10-'E-Costos'!E36)/'InfoInicial-CálcAux'!M14)*'InfoInicial-CálcAux'!M13</f>
        <v>1232193.3887839189</v>
      </c>
      <c r="F18" s="440">
        <f>(('E-Costos'!F10-'E-Costos'!F36)/'InfoInicial-CálcAux'!M14)*'InfoInicial-CálcAux'!M13</f>
        <v>1232193.3887839189</v>
      </c>
      <c r="G18" s="441">
        <f>(('E-Costos'!G10-'E-Costos'!G36)/'InfoInicial-CálcAux'!M14)*'InfoInicial-CálcAux'!M13</f>
        <v>1232193.3887839189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39" t="s">
        <v>612</v>
      </c>
      <c r="B19" s="440">
        <v>0</v>
      </c>
      <c r="C19" s="440">
        <f>C7*'E-Costos'!C147</f>
        <v>13041892.245539149</v>
      </c>
      <c r="D19" s="440">
        <f>D7*'E-Costos'!D147</f>
        <v>45144665.668715611</v>
      </c>
      <c r="E19" s="440">
        <f>E7*'E-Costos'!E147</f>
        <v>45210562.474512324</v>
      </c>
      <c r="F19" s="440">
        <f>F7*'E-Costos'!F147</f>
        <v>45210612.881482288</v>
      </c>
      <c r="G19" s="440">
        <f>G7*'E-Costos'!G147</f>
        <v>45210612.881482288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9" t="s">
        <v>613</v>
      </c>
      <c r="B20" s="440">
        <v>0</v>
      </c>
      <c r="C20" s="440">
        <f>('E-Costos'!C151-C17-C18)/365*J1</f>
        <v>4688561.1083381502</v>
      </c>
      <c r="D20" s="440">
        <f>('E-Costos'!D151-D17-D18)/365*J1</f>
        <v>4782318.8166188309</v>
      </c>
      <c r="E20" s="440">
        <f>('E-Costos'!E151-E17-E18)/365*J1</f>
        <v>4782318.8166188309</v>
      </c>
      <c r="F20" s="440">
        <f>('E-Costos'!F151-F17-F18)/365*J1</f>
        <v>4782318.8166188309</v>
      </c>
      <c r="G20" s="440">
        <f>('E-Costos'!G151-G17-G18)/365*J1</f>
        <v>4782318.8166188309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39"/>
      <c r="B21" s="440"/>
      <c r="C21" s="440"/>
      <c r="D21" s="440"/>
      <c r="E21" s="440"/>
      <c r="F21" s="440"/>
      <c r="G21" s="44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6" t="s">
        <v>614</v>
      </c>
      <c r="B22" s="440">
        <f>B15-SUM(B17:B20)</f>
        <v>3567673.5464599999</v>
      </c>
      <c r="C22" s="440">
        <f>C15-SUM(C17:C20)</f>
        <v>207294568.08461291</v>
      </c>
      <c r="D22" s="440">
        <f>D15-SUM(D17:D20)</f>
        <v>241545598.30748236</v>
      </c>
      <c r="E22" s="440">
        <f t="shared" ref="E22:G22" si="4">E15-SUM(E17:E20)</f>
        <v>241478686.96934292</v>
      </c>
      <c r="F22" s="440">
        <f>F15-SUM(F17:F20)</f>
        <v>241478636.56237295</v>
      </c>
      <c r="G22" s="440">
        <f t="shared" si="4"/>
        <v>241478636.56237295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9"/>
      <c r="B23" s="440"/>
      <c r="C23" s="440"/>
      <c r="D23" s="440"/>
      <c r="E23" s="440"/>
      <c r="F23" s="440"/>
      <c r="G23" s="44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6" t="s">
        <v>615</v>
      </c>
      <c r="B24" s="440">
        <f>B15</f>
        <v>3567673.5464599999</v>
      </c>
      <c r="C24" s="440">
        <f>C15-B15</f>
        <v>229484208.2578676</v>
      </c>
      <c r="D24" s="440">
        <f>D15-C15</f>
        <v>65306842.570244968</v>
      </c>
      <c r="E24" s="440">
        <f>E15-D15</f>
        <v>-1014.5323427319527</v>
      </c>
      <c r="F24" s="440">
        <f t="shared" ref="F24" si="5">F15-E15</f>
        <v>0</v>
      </c>
      <c r="G24" s="441">
        <f>G15-F15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36" t="s">
        <v>616</v>
      </c>
      <c r="B25" s="440">
        <f>B22</f>
        <v>3567673.5464599999</v>
      </c>
      <c r="C25" s="440">
        <f>C22-B22</f>
        <v>203726894.5381529</v>
      </c>
      <c r="D25" s="440">
        <f>D22-C22</f>
        <v>34251030.222869456</v>
      </c>
      <c r="E25" s="440">
        <f>E22-D22</f>
        <v>-66911.33813944459</v>
      </c>
      <c r="F25" s="440">
        <f>F22-E22</f>
        <v>-50.406969964504242</v>
      </c>
      <c r="G25" s="441">
        <f>G22-F22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39"/>
      <c r="B26" s="440"/>
      <c r="C26" s="440"/>
      <c r="D26" s="440"/>
      <c r="E26" s="440"/>
      <c r="F26" s="440"/>
      <c r="G26" s="44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36" t="s">
        <v>617</v>
      </c>
      <c r="B27" s="440"/>
      <c r="C27" s="440"/>
      <c r="D27" s="440"/>
      <c r="E27" s="440"/>
      <c r="F27" s="440"/>
      <c r="G27" s="44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39" t="s">
        <v>618</v>
      </c>
      <c r="B28" s="440">
        <v>0</v>
      </c>
      <c r="C28" s="440">
        <f>(C7*0.21)-(B7*0.21)</f>
        <v>28136404.10958904</v>
      </c>
      <c r="D28" s="440">
        <f>(D7*0.21)-(C7*0.21)</f>
        <v>11254561.643835619</v>
      </c>
      <c r="E28" s="440">
        <f t="shared" ref="E28:G28" si="6">(E7*0.21)-(D7*0.21)</f>
        <v>0</v>
      </c>
      <c r="F28" s="440">
        <f t="shared" si="6"/>
        <v>0</v>
      </c>
      <c r="G28" s="441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39" t="s">
        <v>619</v>
      </c>
      <c r="B29" s="440"/>
      <c r="C29" s="440"/>
      <c r="D29" s="440"/>
      <c r="E29" s="440"/>
      <c r="F29" s="440"/>
      <c r="G29" s="44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39" t="s">
        <v>620</v>
      </c>
      <c r="B30" s="440">
        <f>InfoInicial!$B$3*B10</f>
        <v>79437.423756599994</v>
      </c>
      <c r="C30" s="440">
        <f>InfoInicial!$B$3*(C10-B10)</f>
        <v>8028662.5762433996</v>
      </c>
      <c r="D30" s="440">
        <f>InfoInicial!$B$3*(D10-C10)</f>
        <v>0</v>
      </c>
      <c r="E30" s="440">
        <f>InfoInicial!$B$3*(E10-D10)</f>
        <v>0</v>
      </c>
      <c r="F30" s="440">
        <f>InfoInicial!$B$3*(F10-E10)</f>
        <v>0</v>
      </c>
      <c r="G30" s="440">
        <f>InfoInicial!$B$3*(G10-F10)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39" t="s">
        <v>621</v>
      </c>
      <c r="B31" s="440">
        <v>0</v>
      </c>
      <c r="C31" s="440">
        <f>(C11-B11)*InfoInicial!$B$3</f>
        <v>257228.85639871872</v>
      </c>
      <c r="D31" s="440">
        <f>(D11-C11)*InfoInicial!$B$3</f>
        <v>0</v>
      </c>
      <c r="E31" s="440">
        <f>(E11-D11)*InfoInicial!$B$3</f>
        <v>0</v>
      </c>
      <c r="F31" s="440">
        <f>(F11-E11)*InfoInicial!$B$3</f>
        <v>0</v>
      </c>
      <c r="G31" s="440">
        <f>(G11-F11)*InfoInicial!$B$3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9" t="s">
        <v>622</v>
      </c>
      <c r="B32" s="440">
        <v>0</v>
      </c>
      <c r="C32" s="440">
        <f>0.21*('E-Costos'!C33+'E-Costos'!C38+'E-Costos'!C39)</f>
        <v>2234377.0113047799</v>
      </c>
      <c r="D32" s="440">
        <f>(D12-C12)*InfoInicial!B3</f>
        <v>-233536.2580289825</v>
      </c>
      <c r="E32" s="440">
        <f t="shared" ref="E32:G32" si="7">(E12*0.21)-(D12*0.21)</f>
        <v>0</v>
      </c>
      <c r="F32" s="440">
        <f t="shared" si="7"/>
        <v>0</v>
      </c>
      <c r="G32" s="441">
        <f t="shared" si="7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20" t="s">
        <v>623</v>
      </c>
      <c r="B33" s="440">
        <v>0</v>
      </c>
      <c r="C33" s="440">
        <f>0.21*('CA COSTOS'!D165+'CA COSTOS'!D170+'CA COSTOS'!D171)</f>
        <v>5634765.2606702941</v>
      </c>
      <c r="D33" s="440">
        <f>(0.21*('CA COSTOS'!E165+'CA COSTOS'!E170+'CA COSTOS'!E171)-'E-InvAT'!C33)</f>
        <v>-947868.51276782807</v>
      </c>
      <c r="E33" s="442">
        <f>(0.21*('CA COSTOS'!F165+'CA COSTOS'!F170+'CA COSTOS'!F171)-(0.21*('CA COSTOS'!E165+'CA COSTOS'!E170+'CA COSTOS'!E171)))</f>
        <v>0</v>
      </c>
      <c r="F33" s="442">
        <f>(0.21*('CA COSTOS'!G165+'CA COSTOS'!G170+'CA COSTOS'!G171)-(0.21*('CA COSTOS'!F165+'CA COSTOS'!F170+'CA COSTOS'!F171)))</f>
        <v>0</v>
      </c>
      <c r="G33" s="443">
        <f>(0.21*('CA COSTOS'!H165+'CA COSTOS'!H170+'CA COSTOS'!H171))-(0.21*('CA COSTOS'!G165+'CA COSTOS'!G170+'CA COSTOS'!G171))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6" t="s">
        <v>624</v>
      </c>
      <c r="B34" s="440">
        <f>SUM(B28:B33)</f>
        <v>79437.423756599994</v>
      </c>
      <c r="C34" s="440">
        <f>SUM(C28:C33)</f>
        <v>44291437.814206235</v>
      </c>
      <c r="D34" s="440">
        <f>SUM(D28:D33)</f>
        <v>10073156.87303881</v>
      </c>
      <c r="E34" s="444">
        <f>SUM(E28:E33)</f>
        <v>0</v>
      </c>
      <c r="F34" s="444">
        <f t="shared" ref="F34:G34" si="8">SUM(F28:F33)</f>
        <v>0</v>
      </c>
      <c r="G34" s="444">
        <f t="shared" si="8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39"/>
      <c r="B35" s="444"/>
      <c r="C35" s="444"/>
      <c r="D35" s="444"/>
      <c r="E35" s="444"/>
      <c r="F35" s="444"/>
      <c r="G35" s="44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46" t="s">
        <v>625</v>
      </c>
      <c r="B36" s="447">
        <f>B34+B25</f>
        <v>3647110.9702165998</v>
      </c>
      <c r="C36" s="447">
        <f>C34+C25</f>
        <v>248018332.35235915</v>
      </c>
      <c r="D36" s="447">
        <f>D34+D25</f>
        <v>44324187.095908269</v>
      </c>
      <c r="E36" s="447">
        <f t="shared" ref="E36:G36" si="9">E34+E25</f>
        <v>-66911.33813944459</v>
      </c>
      <c r="F36" s="447">
        <f t="shared" si="9"/>
        <v>-50.406969964504242</v>
      </c>
      <c r="G36" s="447">
        <f t="shared" si="9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>
        <f>'E-Costos'!C131</f>
        <v>1388447.4194900237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864" t="s">
        <v>626</v>
      </c>
      <c r="B40" s="899">
        <v>0.02</v>
      </c>
      <c r="C40" s="898" t="s">
        <v>627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864" t="s">
        <v>628</v>
      </c>
      <c r="B41" s="900">
        <v>0.08</v>
      </c>
      <c r="C41" s="898" t="s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1:I1"/>
  </mergeCells>
  <pageMargins left="0.25972222222222202" right="0.45972222222222198" top="0.6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InfoInicial-CálcAux</vt:lpstr>
      <vt:lpstr>InfoInicial</vt:lpstr>
      <vt:lpstr>CA Inv AF y Am</vt:lpstr>
      <vt:lpstr>CA Inv AT</vt:lpstr>
      <vt:lpstr>Hoja1</vt:lpstr>
      <vt:lpstr>CA COSTOS</vt:lpstr>
      <vt:lpstr>E-Inv AF y Am</vt:lpstr>
      <vt:lpstr>E-Costos</vt:lpstr>
      <vt:lpstr>E-InvAT</vt:lpstr>
      <vt:lpstr>E-IVA </vt:lpstr>
      <vt:lpstr>E-Cal Inv.</vt:lpstr>
      <vt:lpstr>E-Form</vt:lpstr>
      <vt:lpstr>Ej 50-66</vt:lpstr>
      <vt:lpstr>tecnico</vt:lpstr>
      <vt:lpstr>F-Cred</vt:lpstr>
      <vt:lpstr>F-CRes</vt:lpstr>
      <vt:lpstr>F-2 Estructura</vt:lpstr>
      <vt:lpstr>F-IVA</vt:lpstr>
      <vt:lpstr>F- CFyU</vt:lpstr>
      <vt:lpstr>F-Balance</vt:lpstr>
      <vt:lpstr>F- Form</vt:lpstr>
      <vt:lpstr>Análisis de riesgo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>Manuel Contreras</cp:lastModifiedBy>
  <cp:revision/>
  <dcterms:created xsi:type="dcterms:W3CDTF">2021-08-14T00:13:07Z</dcterms:created>
  <dcterms:modified xsi:type="dcterms:W3CDTF">2022-11-27T19:51:42Z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